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fsrmain01.konishi\KON\10_bond\HPリニューアル2025\●保管資料・掲載データ\建築現場施工用\外壁改修\使用材料計算書\"/>
    </mc:Choice>
  </mc:AlternateContent>
  <xr:revisionPtr revIDLastSave="0" documentId="13_ncr:1_{6BB7CF5E-E5DE-48AA-A695-8759272FD407}" xr6:coauthVersionLast="36" xr6:coauthVersionMax="47" xr10:uidLastSave="{00000000-0000-0000-0000-000000000000}"/>
  <bookViews>
    <workbookView xWindow="-110" yWindow="-110" windowWidth="19420" windowHeight="11500" tabRatio="790" activeTab="8" xr2:uid="{270C68FF-9DCF-48DD-86E3-DBF8F05D208B}"/>
  </bookViews>
  <sheets>
    <sheet name="ひび割れ" sheetId="1" r:id="rId1"/>
    <sheet name="欠損" sheetId="3" r:id="rId2"/>
    <sheet name="浮き" sheetId="2" r:id="rId3"/>
    <sheet name="シーリング材" sheetId="4" r:id="rId4"/>
    <sheet name="手すり足元部" sheetId="5" r:id="rId5"/>
    <sheet name="外壁複合改修工法(カーボピンネット工法)" sheetId="6" r:id="rId6"/>
    <sheet name="外壁複合改修工法(アクアバインド工法)" sheetId="7" r:id="rId7"/>
    <sheet name="外壁複合改修工法(ソルバインド工法)" sheetId="8" r:id="rId8"/>
    <sheet name="外壁用塗膜防水工法(アクアディフェンダー工法)" sheetId="9" r:id="rId9"/>
  </sheets>
  <definedNames>
    <definedName name="_xlnm._FilterDatabase" localSheetId="3" hidden="1">シーリング材!$A$12:$AB$32</definedName>
    <definedName name="_xlnm._FilterDatabase" localSheetId="1" hidden="1">欠損!$A$12:$AC$24</definedName>
    <definedName name="_xlnm._FilterDatabase" localSheetId="4" hidden="1">手すり足元部!$A$12:$Z$13</definedName>
    <definedName name="_xlnm.Print_Area" localSheetId="3">シーリング材!$B$1:$K$39</definedName>
    <definedName name="_xlnm.Print_Area" localSheetId="0">ひび割れ!$B$1:$J$23</definedName>
    <definedName name="_xlnm.Print_Area" localSheetId="6">'外壁複合改修工法(アクアバインド工法)'!$B$1:$G$20</definedName>
    <definedName name="_xlnm.Print_Area" localSheetId="5">'外壁複合改修工法(カーボピンネット工法)'!$B$1:$G$20</definedName>
    <definedName name="_xlnm.Print_Area" localSheetId="7">'外壁複合改修工法(ソルバインド工法)'!$B$1:$G$21</definedName>
    <definedName name="_xlnm.Print_Area" localSheetId="8">'外壁用塗膜防水工法(アクアディフェンダー工法)'!$B$1:$F$17</definedName>
    <definedName name="_xlnm.Print_Area" localSheetId="1">欠損!$B$1:$M$37</definedName>
    <definedName name="_xlnm.Print_Area" localSheetId="4">手すり足元部!$B$1:$L$17</definedName>
    <definedName name="_xlnm.Print_Area" localSheetId="2">浮き!$B$1:$K$48</definedName>
    <definedName name="_xlnm.Print_Titles" localSheetId="3">シーリング材!$1:$12</definedName>
    <definedName name="_xlnm.Print_Titles" localSheetId="0">ひび割れ!$1:$12</definedName>
    <definedName name="_xlnm.Print_Titles" localSheetId="1">欠損!$1:$12</definedName>
    <definedName name="_xlnm.Print_Titles" localSheetId="4">手すり足元部!$1:$12</definedName>
    <definedName name="_xlnm.Print_Titles" localSheetId="2">浮き!$1:$12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8" l="1"/>
  <c r="F21" i="8"/>
  <c r="F20" i="8"/>
  <c r="F19" i="8"/>
  <c r="F18" i="8"/>
  <c r="F15" i="8"/>
  <c r="E17" i="9"/>
  <c r="E16" i="9"/>
  <c r="E15" i="9"/>
  <c r="L14" i="3"/>
  <c r="L32" i="3"/>
  <c r="L30" i="3"/>
  <c r="L28" i="3"/>
  <c r="L26" i="3"/>
  <c r="L24" i="3"/>
  <c r="L22" i="3"/>
  <c r="L20" i="3"/>
  <c r="L18" i="3"/>
  <c r="L16" i="3"/>
  <c r="I16" i="1"/>
  <c r="I14" i="1"/>
  <c r="E17" i="8"/>
  <c r="F17" i="8" s="1"/>
  <c r="F20" i="6"/>
  <c r="F16" i="6"/>
  <c r="F19" i="6"/>
  <c r="F18" i="6"/>
  <c r="F17" i="6"/>
  <c r="F15" i="6"/>
  <c r="F20" i="7"/>
  <c r="F19" i="7"/>
  <c r="F18" i="7"/>
  <c r="F17" i="7"/>
  <c r="F16" i="7"/>
  <c r="F15" i="7"/>
  <c r="J42" i="2"/>
  <c r="J39" i="2"/>
  <c r="J36" i="2"/>
  <c r="J27" i="2"/>
  <c r="J24" i="2"/>
  <c r="J21" i="2"/>
  <c r="J41" i="2"/>
  <c r="J26" i="2"/>
  <c r="J38" i="2"/>
  <c r="J35" i="2"/>
  <c r="J20" i="2"/>
  <c r="J23" i="2"/>
  <c r="J22" i="2"/>
  <c r="K15" i="3"/>
  <c r="L15" i="3" s="1"/>
  <c r="L13" i="3"/>
  <c r="I15" i="1"/>
  <c r="E19" i="6"/>
  <c r="C16" i="8"/>
  <c r="E17" i="7"/>
  <c r="C16" i="7"/>
  <c r="J31" i="4" l="1"/>
  <c r="J34" i="4" s="1"/>
  <c r="J29" i="4"/>
  <c r="J27" i="4"/>
  <c r="J25" i="4"/>
  <c r="J23" i="4"/>
  <c r="J21" i="4"/>
  <c r="J19" i="4"/>
  <c r="J17" i="4"/>
  <c r="J15" i="4"/>
  <c r="J35" i="4"/>
  <c r="J36" i="4"/>
  <c r="J13" i="4"/>
  <c r="K36" i="4"/>
  <c r="K35" i="4"/>
  <c r="K34" i="4"/>
  <c r="K31" i="4"/>
  <c r="K29" i="4"/>
  <c r="K27" i="4"/>
  <c r="K25" i="4"/>
  <c r="K23" i="4"/>
  <c r="K21" i="4"/>
  <c r="K19" i="4"/>
  <c r="K17" i="4"/>
  <c r="K15" i="4"/>
  <c r="K13" i="4"/>
  <c r="K31" i="3"/>
  <c r="K29" i="3"/>
  <c r="K27" i="3"/>
  <c r="K25" i="3"/>
  <c r="K23" i="3"/>
  <c r="K21" i="3"/>
  <c r="K19" i="3"/>
  <c r="K17" i="3"/>
  <c r="K13" i="3"/>
  <c r="G31" i="3"/>
  <c r="L31" i="3" l="1"/>
  <c r="G29" i="3"/>
  <c r="G27" i="3"/>
  <c r="G25" i="3"/>
  <c r="I32" i="4"/>
  <c r="J32" i="4"/>
  <c r="I18" i="1"/>
  <c r="J20" i="1"/>
  <c r="F20" i="1"/>
  <c r="J17" i="1"/>
  <c r="F17" i="1"/>
  <c r="J15" i="1"/>
  <c r="F15" i="1"/>
  <c r="L29" i="3" l="1"/>
  <c r="L27" i="3"/>
  <c r="L25" i="3"/>
  <c r="I22" i="1"/>
  <c r="I21" i="1"/>
  <c r="I19" i="1"/>
  <c r="I17" i="1"/>
  <c r="J30" i="4"/>
  <c r="J28" i="4"/>
  <c r="J26" i="4"/>
  <c r="J24" i="4"/>
  <c r="J22" i="4"/>
  <c r="J20" i="4"/>
  <c r="J18" i="4"/>
  <c r="J39" i="4" s="1"/>
  <c r="J16" i="4"/>
  <c r="J38" i="4"/>
  <c r="J14" i="4"/>
  <c r="I30" i="4"/>
  <c r="I28" i="4"/>
  <c r="I26" i="4"/>
  <c r="I24" i="4"/>
  <c r="I22" i="4"/>
  <c r="I20" i="4"/>
  <c r="I18" i="4"/>
  <c r="I16" i="4"/>
  <c r="I14" i="4"/>
  <c r="J48" i="2"/>
  <c r="F47" i="2"/>
  <c r="J47" i="2"/>
  <c r="J46" i="2"/>
  <c r="J44" i="2"/>
  <c r="J43" i="2"/>
  <c r="J40" i="2"/>
  <c r="J37" i="2"/>
  <c r="J34" i="2"/>
  <c r="J33" i="2"/>
  <c r="J32" i="2"/>
  <c r="J31" i="2"/>
  <c r="J30" i="2"/>
  <c r="J29" i="2"/>
  <c r="J28" i="2"/>
  <c r="J25" i="2"/>
  <c r="J18" i="2"/>
  <c r="J16" i="2"/>
  <c r="J14" i="2"/>
  <c r="J13" i="2"/>
  <c r="J19" i="2"/>
  <c r="J17" i="2"/>
  <c r="J15" i="2"/>
  <c r="I23" i="1"/>
  <c r="I20" i="1" a="1"/>
  <c r="I20" i="1" s="1"/>
  <c r="I13" i="1"/>
  <c r="F13" i="5"/>
  <c r="K13" i="5" s="1"/>
  <c r="G23" i="3"/>
  <c r="G21" i="3"/>
  <c r="G19" i="3"/>
  <c r="L19" i="3" s="1"/>
  <c r="G17" i="3"/>
  <c r="G15" i="3"/>
  <c r="G13" i="3"/>
  <c r="L37" i="3" l="1"/>
  <c r="J37" i="4"/>
  <c r="L17" i="3"/>
  <c r="L21" i="3"/>
  <c r="L23" i="3"/>
  <c r="L35" i="3"/>
  <c r="K17" i="5"/>
  <c r="K16" i="5"/>
  <c r="G34" i="3"/>
  <c r="L36" i="3" l="1"/>
  <c r="L34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<sst xmlns="http://schemas.openxmlformats.org/spreadsheetml/2006/main" count="813" uniqueCount="261">
  <si>
    <t>使用材料</t>
    <rPh sb="0" eb="2">
      <t>シヨウ</t>
    </rPh>
    <rPh sb="2" eb="4">
      <t>ザイリョウ</t>
    </rPh>
    <phoneticPr fontId="2"/>
  </si>
  <si>
    <t>品名</t>
    <rPh sb="0" eb="2">
      <t>ヒンメイ</t>
    </rPh>
    <phoneticPr fontId="2"/>
  </si>
  <si>
    <t>標準使用量</t>
    <rPh sb="0" eb="2">
      <t>ヒョウジュン</t>
    </rPh>
    <rPh sb="2" eb="5">
      <t>シヨウリョウ</t>
    </rPh>
    <phoneticPr fontId="2"/>
  </si>
  <si>
    <t>施工数量</t>
    <rPh sb="0" eb="2">
      <t>セコウ</t>
    </rPh>
    <rPh sb="2" eb="4">
      <t>スウリョウ</t>
    </rPh>
    <phoneticPr fontId="2"/>
  </si>
  <si>
    <t>必要量</t>
    <rPh sb="0" eb="2">
      <t>ヒツヨウ</t>
    </rPh>
    <rPh sb="2" eb="3">
      <t>リョウ</t>
    </rPh>
    <phoneticPr fontId="2"/>
  </si>
  <si>
    <t>本</t>
    <rPh sb="0" eb="1">
      <t>ホン</t>
    </rPh>
    <phoneticPr fontId="2"/>
  </si>
  <si>
    <t>個</t>
    <rPh sb="0" eb="1">
      <t>コ</t>
    </rPh>
    <phoneticPr fontId="2"/>
  </si>
  <si>
    <t>kg</t>
    <phoneticPr fontId="2"/>
  </si>
  <si>
    <t>　・本資料は専門施工会社様向けの計算書ツールとなります。</t>
    <rPh sb="2" eb="3">
      <t>ホン</t>
    </rPh>
    <rPh sb="3" eb="5">
      <t>シリョウ</t>
    </rPh>
    <rPh sb="6" eb="8">
      <t>センモン</t>
    </rPh>
    <rPh sb="8" eb="10">
      <t>セコウ</t>
    </rPh>
    <rPh sb="10" eb="12">
      <t>ガイシャ</t>
    </rPh>
    <rPh sb="12" eb="13">
      <t>サマ</t>
    </rPh>
    <rPh sb="13" eb="14">
      <t>ム</t>
    </rPh>
    <rPh sb="16" eb="19">
      <t>ケイサンショ</t>
    </rPh>
    <phoneticPr fontId="2"/>
  </si>
  <si>
    <t>　・施工現場の状況によって推奨する材料、使用量は異なる場合があります。</t>
    <rPh sb="2" eb="4">
      <t>セコウ</t>
    </rPh>
    <rPh sb="4" eb="6">
      <t>ゲンバ</t>
    </rPh>
    <rPh sb="7" eb="9">
      <t>ジョウキョウ</t>
    </rPh>
    <rPh sb="13" eb="15">
      <t>スイショウ</t>
    </rPh>
    <rPh sb="17" eb="19">
      <t>ザイリョウ</t>
    </rPh>
    <rPh sb="20" eb="23">
      <t>シヨウリョウ</t>
    </rPh>
    <rPh sb="24" eb="25">
      <t>コト</t>
    </rPh>
    <rPh sb="27" eb="29">
      <t>バアイ</t>
    </rPh>
    <phoneticPr fontId="2"/>
  </si>
  <si>
    <t>使用方法</t>
    <rPh sb="0" eb="2">
      <t>シヨウ</t>
    </rPh>
    <rPh sb="2" eb="4">
      <t>ホウホウ</t>
    </rPh>
    <phoneticPr fontId="2"/>
  </si>
  <si>
    <t>注意事項</t>
    <rPh sb="0" eb="2">
      <t>チュウイ</t>
    </rPh>
    <rPh sb="2" eb="4">
      <t>ジコウ</t>
    </rPh>
    <phoneticPr fontId="2"/>
  </si>
  <si>
    <t>E208</t>
    <phoneticPr fontId="2"/>
  </si>
  <si>
    <t>E209</t>
    <phoneticPr fontId="2"/>
  </si>
  <si>
    <t>CPアンカーピン E-550</t>
    <phoneticPr fontId="2"/>
  </si>
  <si>
    <t>CPアンカーピン E-570</t>
    <phoneticPr fontId="2"/>
  </si>
  <si>
    <t>CPアンカーピン E-610</t>
    <phoneticPr fontId="2"/>
  </si>
  <si>
    <t>CPキャップ Φ6.5</t>
    <phoneticPr fontId="2"/>
  </si>
  <si>
    <t>CPキャップ Φ9.0</t>
    <phoneticPr fontId="2"/>
  </si>
  <si>
    <t>引用</t>
    <rPh sb="0" eb="2">
      <t>インヨウ</t>
    </rPh>
    <phoneticPr fontId="2"/>
  </si>
  <si>
    <t>ひび割れ</t>
    <rPh sb="2" eb="3">
      <t>ワ</t>
    </rPh>
    <phoneticPr fontId="2"/>
  </si>
  <si>
    <t>工法名</t>
    <rPh sb="0" eb="2">
      <t>コウホウ</t>
    </rPh>
    <rPh sb="2" eb="3">
      <t>メイ</t>
    </rPh>
    <phoneticPr fontId="2"/>
  </si>
  <si>
    <t>シール工法</t>
    <rPh sb="3" eb="5">
      <t>コウホウ</t>
    </rPh>
    <phoneticPr fontId="2"/>
  </si>
  <si>
    <t>ピンニング工法</t>
    <rPh sb="5" eb="7">
      <t>コウホウ</t>
    </rPh>
    <phoneticPr fontId="2"/>
  </si>
  <si>
    <t>適用</t>
    <rPh sb="0" eb="2">
      <t>テキヨウ</t>
    </rPh>
    <phoneticPr fontId="2"/>
  </si>
  <si>
    <t>硬質エポキシ樹脂</t>
    <rPh sb="0" eb="2">
      <t>コウシツ</t>
    </rPh>
    <rPh sb="6" eb="8">
      <t>ジュシ</t>
    </rPh>
    <phoneticPr fontId="2"/>
  </si>
  <si>
    <t>可とう性エポキシ樹脂</t>
    <rPh sb="0" eb="1">
      <t>カ</t>
    </rPh>
    <rPh sb="3" eb="4">
      <t>セイ</t>
    </rPh>
    <rPh sb="8" eb="10">
      <t>ジュシ</t>
    </rPh>
    <phoneticPr fontId="2"/>
  </si>
  <si>
    <t>シール材</t>
    <rPh sb="3" eb="4">
      <t>ザイ</t>
    </rPh>
    <phoneticPr fontId="2"/>
  </si>
  <si>
    <t>プライマー</t>
    <phoneticPr fontId="2"/>
  </si>
  <si>
    <t>E390</t>
    <phoneticPr fontId="2"/>
  </si>
  <si>
    <t>ユニエポ補修用プライマー</t>
    <rPh sb="4" eb="7">
      <t>ホシュウヨウ</t>
    </rPh>
    <phoneticPr fontId="2"/>
  </si>
  <si>
    <t>UカットONE</t>
    <phoneticPr fontId="2"/>
  </si>
  <si>
    <t>Uカットシール材充てん工法</t>
    <rPh sb="7" eb="8">
      <t>ザイ</t>
    </rPh>
    <rPh sb="8" eb="9">
      <t>ジュウ</t>
    </rPh>
    <rPh sb="11" eb="13">
      <t>コウホウ</t>
    </rPh>
    <phoneticPr fontId="2"/>
  </si>
  <si>
    <t>可とう性エポキシ樹脂</t>
    <phoneticPr fontId="2"/>
  </si>
  <si>
    <t>弾性シーリング材</t>
    <rPh sb="0" eb="2">
      <t>ダンセイ</t>
    </rPh>
    <rPh sb="7" eb="8">
      <t>ザイ</t>
    </rPh>
    <phoneticPr fontId="2"/>
  </si>
  <si>
    <t>E600</t>
    <phoneticPr fontId="2"/>
  </si>
  <si>
    <t>シールプライマー#9</t>
    <phoneticPr fontId="2"/>
  </si>
  <si>
    <t>ビューシール6909</t>
    <phoneticPr fontId="2"/>
  </si>
  <si>
    <t>はくりシールONE</t>
    <phoneticPr fontId="2"/>
  </si>
  <si>
    <t>はくりシールクイック</t>
    <phoneticPr fontId="2"/>
  </si>
  <si>
    <t>クイックメンダー</t>
    <phoneticPr fontId="2"/>
  </si>
  <si>
    <t>クイックメンダー30</t>
    <phoneticPr fontId="2"/>
  </si>
  <si>
    <t>シリンダーセット</t>
    <phoneticPr fontId="2"/>
  </si>
  <si>
    <t>E205</t>
    <phoneticPr fontId="2"/>
  </si>
  <si>
    <t>E206</t>
    <phoneticPr fontId="2"/>
  </si>
  <si>
    <t>E207D</t>
    <phoneticPr fontId="2"/>
  </si>
  <si>
    <t>E2420</t>
    <phoneticPr fontId="2"/>
  </si>
  <si>
    <t>E2420D</t>
    <phoneticPr fontId="2"/>
  </si>
  <si>
    <t>注入器具</t>
    <rPh sb="0" eb="2">
      <t>チュウニュウ</t>
    </rPh>
    <rPh sb="2" eb="4">
      <t>キグ</t>
    </rPh>
    <phoneticPr fontId="2"/>
  </si>
  <si>
    <t>注入材</t>
    <rPh sb="0" eb="2">
      <t>チュウニュウ</t>
    </rPh>
    <rPh sb="2" eb="3">
      <t>ザイ</t>
    </rPh>
    <phoneticPr fontId="2"/>
  </si>
  <si>
    <t>シリンダー工法</t>
    <rPh sb="5" eb="7">
      <t>コウホウ</t>
    </rPh>
    <phoneticPr fontId="2"/>
  </si>
  <si>
    <t>アンカーピン</t>
    <phoneticPr fontId="2"/>
  </si>
  <si>
    <t>全ネジ切ステンレスピン</t>
    <rPh sb="0" eb="1">
      <t>ゼン</t>
    </rPh>
    <rPh sb="3" eb="4">
      <t>キリ</t>
    </rPh>
    <phoneticPr fontId="2"/>
  </si>
  <si>
    <t>注入材（残存浮き部）</t>
    <rPh sb="0" eb="2">
      <t>チュウニュウ</t>
    </rPh>
    <rPh sb="2" eb="3">
      <t>ザイ</t>
    </rPh>
    <rPh sb="4" eb="6">
      <t>ザンゾン</t>
    </rPh>
    <rPh sb="6" eb="7">
      <t>ウ</t>
    </rPh>
    <rPh sb="8" eb="9">
      <t>ブ</t>
    </rPh>
    <phoneticPr fontId="2"/>
  </si>
  <si>
    <t>CPアンカーピン工法</t>
    <rPh sb="8" eb="10">
      <t>コウホウ</t>
    </rPh>
    <phoneticPr fontId="2"/>
  </si>
  <si>
    <t>CPアンカーピンタイル固定工法</t>
    <rPh sb="11" eb="13">
      <t>コテイ</t>
    </rPh>
    <rPh sb="13" eb="15">
      <t>コウホウ</t>
    </rPh>
    <phoneticPr fontId="2"/>
  </si>
  <si>
    <t>MGアンカーピン工法</t>
    <rPh sb="8" eb="10">
      <t>コウホウ</t>
    </rPh>
    <phoneticPr fontId="2"/>
  </si>
  <si>
    <t>【コニシ株式会社】https://www.bond.co.jp/　外壁改修工法　材料計算書</t>
    <rPh sb="33" eb="35">
      <t>ガイヘキ</t>
    </rPh>
    <rPh sb="35" eb="37">
      <t>カイシュウ</t>
    </rPh>
    <rPh sb="37" eb="39">
      <t>コウホウ</t>
    </rPh>
    <phoneticPr fontId="2"/>
  </si>
  <si>
    <t>OGS工法</t>
    <rPh sb="3" eb="5">
      <t>コウホウ</t>
    </rPh>
    <phoneticPr fontId="2"/>
  </si>
  <si>
    <t>OGグラウト</t>
    <phoneticPr fontId="2"/>
  </si>
  <si>
    <t>ml</t>
    <phoneticPr fontId="2"/>
  </si>
  <si>
    <t>浮き</t>
    <rPh sb="0" eb="1">
      <t>ウ</t>
    </rPh>
    <phoneticPr fontId="2"/>
  </si>
  <si>
    <t>タイル張替工法</t>
    <rPh sb="3" eb="5">
      <t>ハリカエ</t>
    </rPh>
    <rPh sb="5" eb="7">
      <t>コウホウ</t>
    </rPh>
    <phoneticPr fontId="2"/>
  </si>
  <si>
    <t>一般部分</t>
    <rPh sb="0" eb="2">
      <t>イッパン</t>
    </rPh>
    <rPh sb="2" eb="4">
      <t>ブブン</t>
    </rPh>
    <phoneticPr fontId="2"/>
  </si>
  <si>
    <t>指定部分</t>
    <rPh sb="0" eb="2">
      <t>シテイ</t>
    </rPh>
    <rPh sb="2" eb="4">
      <t>ブブン</t>
    </rPh>
    <phoneticPr fontId="2"/>
  </si>
  <si>
    <t>狭幅部</t>
    <rPh sb="0" eb="1">
      <t>セマ</t>
    </rPh>
    <rPh sb="1" eb="2">
      <t>ハバ</t>
    </rPh>
    <rPh sb="2" eb="3">
      <t>ブ</t>
    </rPh>
    <phoneticPr fontId="2"/>
  </si>
  <si>
    <t>化粧キャップ</t>
    <rPh sb="0" eb="2">
      <t>ケショウ</t>
    </rPh>
    <phoneticPr fontId="2"/>
  </si>
  <si>
    <t>カプセル型注入材</t>
    <rPh sb="4" eb="5">
      <t>ガタ</t>
    </rPh>
    <rPh sb="5" eb="7">
      <t>チュウニュウ</t>
    </rPh>
    <rPh sb="7" eb="8">
      <t>ザイ</t>
    </rPh>
    <phoneticPr fontId="2"/>
  </si>
  <si>
    <t>EMS20</t>
    <phoneticPr fontId="2"/>
  </si>
  <si>
    <t>部分
注入</t>
    <rPh sb="0" eb="2">
      <t>ブブン</t>
    </rPh>
    <rPh sb="3" eb="5">
      <t>チュウニュウ</t>
    </rPh>
    <phoneticPr fontId="2"/>
  </si>
  <si>
    <t>全面
注入</t>
    <rPh sb="0" eb="2">
      <t>ゼンメン</t>
    </rPh>
    <rPh sb="3" eb="5">
      <t>チュウニュウ</t>
    </rPh>
    <phoneticPr fontId="2"/>
  </si>
  <si>
    <t>欠損　（　エポキシ樹脂モルタル充てん工法・ポリマーセメントモルタル充てん工法　）</t>
    <rPh sb="0" eb="2">
      <t>ケッソン</t>
    </rPh>
    <phoneticPr fontId="2"/>
  </si>
  <si>
    <t>箇所数</t>
    <rPh sb="0" eb="2">
      <t>カショ</t>
    </rPh>
    <rPh sb="2" eb="3">
      <t>スウ</t>
    </rPh>
    <phoneticPr fontId="2"/>
  </si>
  <si>
    <t>Kモルタル</t>
    <phoneticPr fontId="2"/>
  </si>
  <si>
    <t>L</t>
    <phoneticPr fontId="2"/>
  </si>
  <si>
    <t>充てん材</t>
    <rPh sb="0" eb="1">
      <t>ジュウ</t>
    </rPh>
    <rPh sb="3" eb="4">
      <t>ザイ</t>
    </rPh>
    <phoneticPr fontId="2"/>
  </si>
  <si>
    <t>ユニエポ補修用プライマー</t>
    <rPh sb="4" eb="6">
      <t>ホシュウ</t>
    </rPh>
    <rPh sb="6" eb="7">
      <t>ヨウ</t>
    </rPh>
    <phoneticPr fontId="2"/>
  </si>
  <si>
    <t>施工容積</t>
    <rPh sb="0" eb="2">
      <t>セコウ</t>
    </rPh>
    <rPh sb="2" eb="4">
      <t>ヨウセキ</t>
    </rPh>
    <phoneticPr fontId="2"/>
  </si>
  <si>
    <t>No.1</t>
    <phoneticPr fontId="2"/>
  </si>
  <si>
    <t>No.2</t>
  </si>
  <si>
    <t>No.3</t>
  </si>
  <si>
    <t>No.4</t>
  </si>
  <si>
    <t>No.5</t>
  </si>
  <si>
    <t>No.6</t>
  </si>
  <si>
    <t>合計</t>
    <rPh sb="0" eb="2">
      <t>ゴウケイ</t>
    </rPh>
    <phoneticPr fontId="2"/>
  </si>
  <si>
    <t>幅
mm</t>
    <rPh sb="0" eb="1">
      <t>ハバ</t>
    </rPh>
    <phoneticPr fontId="2"/>
  </si>
  <si>
    <t>長さ
mm</t>
    <rPh sb="0" eb="1">
      <t>ナガ</t>
    </rPh>
    <phoneticPr fontId="2"/>
  </si>
  <si>
    <t>深さ
mm</t>
    <rPh sb="0" eb="1">
      <t>フカ</t>
    </rPh>
    <phoneticPr fontId="2"/>
  </si>
  <si>
    <t>比重・標準使用量</t>
    <rPh sb="0" eb="2">
      <t>ヒジュウ</t>
    </rPh>
    <phoneticPr fontId="2"/>
  </si>
  <si>
    <t>　・幅値で記載している箇所はその中央値での計算結果としています。</t>
    <phoneticPr fontId="2"/>
  </si>
  <si>
    <t>　・計算結果にはロスを含んでいません。</t>
    <phoneticPr fontId="2"/>
  </si>
  <si>
    <t>長さ
m</t>
    <rPh sb="0" eb="1">
      <t>ナガ</t>
    </rPh>
    <phoneticPr fontId="2"/>
  </si>
  <si>
    <t>シーリング材</t>
    <rPh sb="5" eb="6">
      <t>ザイ</t>
    </rPh>
    <phoneticPr fontId="2"/>
  </si>
  <si>
    <t>MSシール超耐久</t>
    <rPh sb="5" eb="6">
      <t>チョウ</t>
    </rPh>
    <rPh sb="6" eb="8">
      <t>タイキュウ</t>
    </rPh>
    <phoneticPr fontId="2"/>
  </si>
  <si>
    <t>標準使用量</t>
    <rPh sb="0" eb="2">
      <t>ヒョウジュン</t>
    </rPh>
    <phoneticPr fontId="2"/>
  </si>
  <si>
    <t>下地</t>
    <rPh sb="0" eb="2">
      <t>シタジ</t>
    </rPh>
    <phoneticPr fontId="2"/>
  </si>
  <si>
    <t>多孔質</t>
    <rPh sb="0" eb="3">
      <t>タコウシツ</t>
    </rPh>
    <phoneticPr fontId="2"/>
  </si>
  <si>
    <t>非多孔質</t>
    <rPh sb="0" eb="1">
      <t>ヒ</t>
    </rPh>
    <rPh sb="1" eb="4">
      <t>タコウシツ</t>
    </rPh>
    <phoneticPr fontId="2"/>
  </si>
  <si>
    <t>100g/㎡</t>
    <phoneticPr fontId="2"/>
  </si>
  <si>
    <t>200g/㎡</t>
    <phoneticPr fontId="2"/>
  </si>
  <si>
    <t>No.7</t>
  </si>
  <si>
    <t>No.8</t>
  </si>
  <si>
    <t>No.9</t>
  </si>
  <si>
    <t>No.10</t>
  </si>
  <si>
    <t>g</t>
    <phoneticPr fontId="2"/>
  </si>
  <si>
    <t>シーリング材</t>
    <phoneticPr fontId="2"/>
  </si>
  <si>
    <t>手すり足元部　（　TS-RMグラウト工法　）</t>
    <rPh sb="0" eb="1">
      <t>テ</t>
    </rPh>
    <rPh sb="3" eb="5">
      <t>アシモト</t>
    </rPh>
    <rPh sb="5" eb="6">
      <t>ブ</t>
    </rPh>
    <rPh sb="18" eb="20">
      <t>コウホウ</t>
    </rPh>
    <phoneticPr fontId="2"/>
  </si>
  <si>
    <t>充てん材（樹脂）</t>
    <rPh sb="0" eb="1">
      <t>ジュウ</t>
    </rPh>
    <rPh sb="3" eb="4">
      <t>ザイ</t>
    </rPh>
    <rPh sb="5" eb="7">
      <t>ジュシ</t>
    </rPh>
    <phoneticPr fontId="2"/>
  </si>
  <si>
    <t>充てん材（骨材）</t>
    <rPh sb="0" eb="1">
      <t>ジュウ</t>
    </rPh>
    <rPh sb="3" eb="4">
      <t>ザイ</t>
    </rPh>
    <rPh sb="5" eb="7">
      <t>コツザイ</t>
    </rPh>
    <phoneticPr fontId="2"/>
  </si>
  <si>
    <t>E2300J</t>
    <phoneticPr fontId="2"/>
  </si>
  <si>
    <t>RM骨材</t>
    <rPh sb="2" eb="4">
      <t>コツザイ</t>
    </rPh>
    <phoneticPr fontId="2"/>
  </si>
  <si>
    <t>比重</t>
    <rPh sb="0" eb="2">
      <t>ヒジュウ</t>
    </rPh>
    <phoneticPr fontId="2"/>
  </si>
  <si>
    <t>RM-2300J</t>
    <phoneticPr fontId="2"/>
  </si>
  <si>
    <t>混合比</t>
    <rPh sb="0" eb="3">
      <t>コンゴウヒ</t>
    </rPh>
    <phoneticPr fontId="2"/>
  </si>
  <si>
    <t>1：1</t>
    <phoneticPr fontId="2"/>
  </si>
  <si>
    <t>単位</t>
    <rPh sb="0" eb="2">
      <t>タンイ</t>
    </rPh>
    <phoneticPr fontId="2"/>
  </si>
  <si>
    <t>0.04kg/m</t>
    <phoneticPr fontId="2"/>
  </si>
  <si>
    <t>0.03kg/m</t>
    <phoneticPr fontId="2"/>
  </si>
  <si>
    <t>20ml/m</t>
    <phoneticPr fontId="2"/>
  </si>
  <si>
    <t>0.2kg/m</t>
    <phoneticPr fontId="2"/>
  </si>
  <si>
    <t>150ml/m</t>
    <phoneticPr fontId="2"/>
  </si>
  <si>
    <t>10g/m</t>
    <phoneticPr fontId="2"/>
  </si>
  <si>
    <t>0.15L/m</t>
    <phoneticPr fontId="2"/>
  </si>
  <si>
    <t>0.33本/m</t>
    <rPh sb="4" eb="5">
      <t>ホン</t>
    </rPh>
    <phoneticPr fontId="2"/>
  </si>
  <si>
    <t>0.3kg/m</t>
    <phoneticPr fontId="2"/>
  </si>
  <si>
    <t>4本/m</t>
    <rPh sb="1" eb="2">
      <t>ホン</t>
    </rPh>
    <phoneticPr fontId="2"/>
  </si>
  <si>
    <t>セット</t>
    <phoneticPr fontId="2"/>
  </si>
  <si>
    <t>0.25kg/m</t>
    <phoneticPr fontId="2"/>
  </si>
  <si>
    <t>E209</t>
  </si>
  <si>
    <t>16本/㎡</t>
    <rPh sb="2" eb="3">
      <t>ホン</t>
    </rPh>
    <phoneticPr fontId="2"/>
  </si>
  <si>
    <t>30g/穴×16穴/㎡</t>
    <rPh sb="4" eb="5">
      <t>アナ</t>
    </rPh>
    <rPh sb="8" eb="9">
      <t>アナ</t>
    </rPh>
    <phoneticPr fontId="2"/>
  </si>
  <si>
    <t>25本/㎡</t>
    <rPh sb="2" eb="3">
      <t>ホン</t>
    </rPh>
    <phoneticPr fontId="2"/>
  </si>
  <si>
    <t>30g/穴×25穴/㎡</t>
    <rPh sb="4" eb="5">
      <t>アナ</t>
    </rPh>
    <rPh sb="8" eb="9">
      <t>アナ</t>
    </rPh>
    <phoneticPr fontId="2"/>
  </si>
  <si>
    <t>5本/m</t>
    <rPh sb="1" eb="2">
      <t>ホン</t>
    </rPh>
    <phoneticPr fontId="2"/>
  </si>
  <si>
    <t>㎡</t>
    <phoneticPr fontId="2"/>
  </si>
  <si>
    <t>ｍ</t>
    <phoneticPr fontId="2"/>
  </si>
  <si>
    <t>13本/㎡</t>
    <rPh sb="2" eb="3">
      <t>ホン</t>
    </rPh>
    <phoneticPr fontId="2"/>
  </si>
  <si>
    <t>30g/穴×5穴/m</t>
    <rPh sb="4" eb="5">
      <t>アナ</t>
    </rPh>
    <rPh sb="7" eb="8">
      <t>アナ</t>
    </rPh>
    <phoneticPr fontId="2"/>
  </si>
  <si>
    <t>9本/㎡</t>
    <rPh sb="1" eb="2">
      <t>ホン</t>
    </rPh>
    <phoneticPr fontId="2"/>
  </si>
  <si>
    <t>30g/穴×9穴/㎡</t>
    <rPh sb="4" eb="5">
      <t>アナ</t>
    </rPh>
    <rPh sb="7" eb="8">
      <t>アナ</t>
    </rPh>
    <phoneticPr fontId="2"/>
  </si>
  <si>
    <t>CPアンカーピン E-650</t>
  </si>
  <si>
    <t>CPアンカーピン E-650</t>
    <phoneticPr fontId="2"/>
  </si>
  <si>
    <t>CPアンカーピン E-670</t>
    <phoneticPr fontId="2"/>
  </si>
  <si>
    <t>CPアンカーピン E-550</t>
  </si>
  <si>
    <t>MGアンカーピン450</t>
  </si>
  <si>
    <t>MGアンカーピン450</t>
    <phoneticPr fontId="2"/>
  </si>
  <si>
    <t>MGアンカーピン470</t>
    <phoneticPr fontId="2"/>
  </si>
  <si>
    <t>エフレックスタイルワンアプリパック</t>
    <phoneticPr fontId="2"/>
  </si>
  <si>
    <t>エフレックスタイルワンソフトC3</t>
    <phoneticPr fontId="2"/>
  </si>
  <si>
    <t>1.5～2kg/㎡</t>
    <phoneticPr fontId="2"/>
  </si>
  <si>
    <t>弾性接着剤</t>
    <rPh sb="0" eb="2">
      <t>ダンセイ</t>
    </rPh>
    <rPh sb="2" eb="5">
      <t>セッチャクザイ</t>
    </rPh>
    <phoneticPr fontId="2"/>
  </si>
  <si>
    <t>VPセメントL</t>
    <phoneticPr fontId="2"/>
  </si>
  <si>
    <t>Tモルタル</t>
    <phoneticPr fontId="2"/>
  </si>
  <si>
    <t>MSシール</t>
    <phoneticPr fontId="2"/>
  </si>
  <si>
    <t>PSシール</t>
    <phoneticPr fontId="2"/>
  </si>
  <si>
    <t>AUシール</t>
    <phoneticPr fontId="2"/>
  </si>
  <si>
    <t>ビルドシールSR</t>
    <phoneticPr fontId="2"/>
  </si>
  <si>
    <t>シールプライマー#7</t>
    <phoneticPr fontId="2"/>
  </si>
  <si>
    <t>シールプライマー#38</t>
    <phoneticPr fontId="2"/>
  </si>
  <si>
    <t>シールプライマーシリコン用C</t>
    <rPh sb="12" eb="13">
      <t>ヨウ</t>
    </rPh>
    <phoneticPr fontId="2"/>
  </si>
  <si>
    <t>シールプライマーシリコン用F</t>
    <rPh sb="12" eb="13">
      <t>ヨウ</t>
    </rPh>
    <phoneticPr fontId="2"/>
  </si>
  <si>
    <t>m</t>
    <phoneticPr fontId="2"/>
  </si>
  <si>
    <t>0.25kg/m</t>
  </si>
  <si>
    <t>品名</t>
    <rPh sb="0" eb="2">
      <t>ヒンメイ</t>
    </rPh>
    <phoneticPr fontId="2"/>
  </si>
  <si>
    <t>UカットONE</t>
  </si>
  <si>
    <t>Kモルタル</t>
  </si>
  <si>
    <t>VPセメントL</t>
  </si>
  <si>
    <t>ビューシール6909</t>
  </si>
  <si>
    <t>　①工法と使用材料を選定の上、施工数量を入力する。&lt;黄色セル&gt;</t>
    <rPh sb="2" eb="4">
      <t>コウホウ</t>
    </rPh>
    <rPh sb="5" eb="7">
      <t>シヨウ</t>
    </rPh>
    <rPh sb="7" eb="9">
      <t>ザイリョウ</t>
    </rPh>
    <rPh sb="10" eb="12">
      <t>センテイ</t>
    </rPh>
    <rPh sb="13" eb="14">
      <t>ウエ</t>
    </rPh>
    <rPh sb="17" eb="19">
      <t>スウリョウ</t>
    </rPh>
    <phoneticPr fontId="2"/>
  </si>
  <si>
    <t>　①工法と使用材料を選定の上、施工数量を入力する。&lt;黄色セル&gt;</t>
    <rPh sb="2" eb="4">
      <t>コウホウ</t>
    </rPh>
    <rPh sb="5" eb="7">
      <t>シヨウ</t>
    </rPh>
    <rPh sb="7" eb="9">
      <t>ザイリョウ</t>
    </rPh>
    <rPh sb="10" eb="12">
      <t>センテイ</t>
    </rPh>
    <rPh sb="13" eb="14">
      <t>ウエ</t>
    </rPh>
    <phoneticPr fontId="2"/>
  </si>
  <si>
    <t>　①欠損寸法を入力し、使用材料を選定する。&lt;黄色セル&gt;</t>
    <rPh sb="2" eb="4">
      <t>ケッソン</t>
    </rPh>
    <rPh sb="4" eb="6">
      <t>スンポウ</t>
    </rPh>
    <rPh sb="11" eb="13">
      <t>シヨウ</t>
    </rPh>
    <rPh sb="13" eb="15">
      <t>ザイリョウ</t>
    </rPh>
    <rPh sb="16" eb="18">
      <t>センテイ</t>
    </rPh>
    <phoneticPr fontId="2"/>
  </si>
  <si>
    <t>　①目地寸法を入力し、使用材料を選定の上、下地状態を選択する。&lt;黄色セル&gt;</t>
    <rPh sb="2" eb="4">
      <t>メジ</t>
    </rPh>
    <rPh sb="4" eb="6">
      <t>スンポウ</t>
    </rPh>
    <rPh sb="11" eb="13">
      <t>シヨウ</t>
    </rPh>
    <rPh sb="13" eb="15">
      <t>ザイリョウ</t>
    </rPh>
    <rPh sb="16" eb="18">
      <t>センテイ</t>
    </rPh>
    <rPh sb="19" eb="20">
      <t>ウエ</t>
    </rPh>
    <rPh sb="21" eb="23">
      <t>シタジ</t>
    </rPh>
    <rPh sb="23" eb="25">
      <t>ジョウタイ</t>
    </rPh>
    <rPh sb="26" eb="28">
      <t>センタク</t>
    </rPh>
    <phoneticPr fontId="2"/>
  </si>
  <si>
    <t>　①欠損寸法を入力する。&lt;黄色セル&gt;</t>
    <rPh sb="2" eb="4">
      <t>ケッソン</t>
    </rPh>
    <rPh sb="4" eb="6">
      <t>スンポウ</t>
    </rPh>
    <phoneticPr fontId="2"/>
  </si>
  <si>
    <t>　②標準使用量に準じた計算結果（必要量）が表示されます。&lt;オレンジ色セル&gt;</t>
    <rPh sb="2" eb="4">
      <t>ヒョウジュン</t>
    </rPh>
    <rPh sb="4" eb="7">
      <t>シヨウリョウ</t>
    </rPh>
    <rPh sb="11" eb="13">
      <t>ケイサン</t>
    </rPh>
    <rPh sb="13" eb="15">
      <t>ケッカ</t>
    </rPh>
    <rPh sb="16" eb="18">
      <t>ヒツヨウ</t>
    </rPh>
    <rPh sb="18" eb="19">
      <t>リョウ</t>
    </rPh>
    <rPh sb="21" eb="23">
      <t>ヒョウジ</t>
    </rPh>
    <rPh sb="33" eb="34">
      <t>イロ</t>
    </rPh>
    <phoneticPr fontId="2"/>
  </si>
  <si>
    <t>　②標準使用量に準じた計算結果（必要量）が表示されます。&lt;オレンジ色セル&gt;</t>
    <rPh sb="2" eb="4">
      <t>ヒョウジュン</t>
    </rPh>
    <rPh sb="4" eb="7">
      <t>シヨウリョウ</t>
    </rPh>
    <phoneticPr fontId="2"/>
  </si>
  <si>
    <t>　②施工容積および標準使用量に準じた計算結果（必要量）が表示されます。&lt;オレンジ色セル&gt;</t>
    <rPh sb="2" eb="4">
      <t>セコウ</t>
    </rPh>
    <rPh sb="4" eb="6">
      <t>ヨウセキ</t>
    </rPh>
    <rPh sb="9" eb="11">
      <t>ヒョウジュン</t>
    </rPh>
    <rPh sb="11" eb="14">
      <t>シヨウリョウ</t>
    </rPh>
    <rPh sb="18" eb="20">
      <t>ケイサン</t>
    </rPh>
    <rPh sb="20" eb="22">
      <t>ケッカ</t>
    </rPh>
    <rPh sb="23" eb="25">
      <t>ヒツヨウ</t>
    </rPh>
    <rPh sb="25" eb="26">
      <t>リョウ</t>
    </rPh>
    <rPh sb="28" eb="30">
      <t>ヒョウジ</t>
    </rPh>
    <phoneticPr fontId="2"/>
  </si>
  <si>
    <t>　②施工容積および標準使用量に準じた計算結果（必要量）が表示されます。&lt;オレンジ色セル&gt;</t>
    <rPh sb="2" eb="4">
      <t>セコウ</t>
    </rPh>
    <rPh sb="4" eb="6">
      <t>ヨウセキ</t>
    </rPh>
    <rPh sb="9" eb="11">
      <t>ヒョウジュン</t>
    </rPh>
    <rPh sb="11" eb="14">
      <t>シヨウリョウ</t>
    </rPh>
    <rPh sb="18" eb="20">
      <t>ケイサン</t>
    </rPh>
    <rPh sb="20" eb="22">
      <t>ケッカ</t>
    </rPh>
    <rPh sb="23" eb="25">
      <t>ヒツヨウ</t>
    </rPh>
    <rPh sb="25" eb="26">
      <t>リョウ</t>
    </rPh>
    <phoneticPr fontId="2"/>
  </si>
  <si>
    <t>　・計算結果は2面接着を条件とし、ロスを含んでいません。</t>
    <rPh sb="8" eb="9">
      <t>メン</t>
    </rPh>
    <rPh sb="9" eb="11">
      <t>セッチャク</t>
    </rPh>
    <rPh sb="12" eb="14">
      <t>ジョウケン</t>
    </rPh>
    <phoneticPr fontId="2"/>
  </si>
  <si>
    <t>No.7</t>
    <phoneticPr fontId="2"/>
  </si>
  <si>
    <t>No.8</t>
    <phoneticPr fontId="2"/>
  </si>
  <si>
    <t>No.9</t>
    <phoneticPr fontId="2"/>
  </si>
  <si>
    <t>No.10</t>
    <phoneticPr fontId="2"/>
  </si>
  <si>
    <t>　②施工容積に準じた計算結果（必要量）が表示されます。&lt;オレンジ色セル&gt;</t>
    <phoneticPr fontId="2"/>
  </si>
  <si>
    <t>ユニエポカプセル450</t>
    <phoneticPr fontId="2"/>
  </si>
  <si>
    <t>ユニエポカプセル470</t>
    <phoneticPr fontId="2"/>
  </si>
  <si>
    <t>SAシール</t>
    <phoneticPr fontId="2"/>
  </si>
  <si>
    <t>Pモルタル(E208:Pモルタル骨材＝1:3)</t>
    <rPh sb="16" eb="18">
      <t>コツザイ</t>
    </rPh>
    <phoneticPr fontId="2"/>
  </si>
  <si>
    <t>シリコンコーク</t>
  </si>
  <si>
    <t>シリコンコーク</t>
    <phoneticPr fontId="2"/>
  </si>
  <si>
    <t>シールプライマー#7</t>
  </si>
  <si>
    <t>　①施工数量を入力し、使用材料を選定の上、施工環境を選択する。&lt;黄色セル&gt;</t>
    <rPh sb="2" eb="4">
      <t>セコウ</t>
    </rPh>
    <rPh sb="4" eb="6">
      <t>スウリョウ</t>
    </rPh>
    <rPh sb="7" eb="9">
      <t>ニュウリョク</t>
    </rPh>
    <rPh sb="11" eb="13">
      <t>シヨウ</t>
    </rPh>
    <rPh sb="13" eb="15">
      <t>ザイリョウ</t>
    </rPh>
    <rPh sb="16" eb="18">
      <t>センテイ</t>
    </rPh>
    <rPh sb="19" eb="20">
      <t>ウエ</t>
    </rPh>
    <rPh sb="21" eb="23">
      <t>セコウ</t>
    </rPh>
    <rPh sb="23" eb="25">
      <t>カンキョウ</t>
    </rPh>
    <rPh sb="26" eb="28">
      <t>センタク</t>
    </rPh>
    <phoneticPr fontId="2"/>
  </si>
  <si>
    <t>　②標準使用量に準じた計算結果（必要量）が表示されます。&lt;オレンジ色セル&gt;</t>
    <rPh sb="2" eb="4">
      <t>ヒョウジュン</t>
    </rPh>
    <rPh sb="4" eb="7">
      <t>シヨウリョウ</t>
    </rPh>
    <rPh sb="11" eb="13">
      <t>ケイサン</t>
    </rPh>
    <rPh sb="13" eb="15">
      <t>ケッカ</t>
    </rPh>
    <rPh sb="16" eb="18">
      <t>ヒツヨウ</t>
    </rPh>
    <rPh sb="18" eb="19">
      <t>リョウ</t>
    </rPh>
    <rPh sb="21" eb="23">
      <t>ヒョウジ</t>
    </rPh>
    <phoneticPr fontId="2"/>
  </si>
  <si>
    <t>　・幅値で記載している箇所はその中央値での計算結果としています。</t>
    <rPh sb="2" eb="3">
      <t>ハバ</t>
    </rPh>
    <rPh sb="3" eb="4">
      <t>チ</t>
    </rPh>
    <rPh sb="5" eb="7">
      <t>キサイ</t>
    </rPh>
    <rPh sb="11" eb="13">
      <t>カショ</t>
    </rPh>
    <rPh sb="16" eb="18">
      <t>チュウオウ</t>
    </rPh>
    <rPh sb="18" eb="19">
      <t>チ</t>
    </rPh>
    <rPh sb="21" eb="23">
      <t>ケイサン</t>
    </rPh>
    <rPh sb="23" eb="25">
      <t>ケッカ</t>
    </rPh>
    <phoneticPr fontId="2"/>
  </si>
  <si>
    <t>　・計算結果にはロスを含んでいません。</t>
    <rPh sb="2" eb="4">
      <t>ケイサン</t>
    </rPh>
    <rPh sb="4" eb="6">
      <t>ケッカ</t>
    </rPh>
    <rPh sb="11" eb="12">
      <t>フク</t>
    </rPh>
    <phoneticPr fontId="2"/>
  </si>
  <si>
    <t>カーボピンネット工法</t>
    <rPh sb="8" eb="10">
      <t>コウホウ</t>
    </rPh>
    <phoneticPr fontId="2"/>
  </si>
  <si>
    <t>㎡</t>
  </si>
  <si>
    <t>施工環境</t>
    <rPh sb="0" eb="2">
      <t>セコウ</t>
    </rPh>
    <rPh sb="2" eb="4">
      <t>カンキョウ</t>
    </rPh>
    <phoneticPr fontId="2"/>
  </si>
  <si>
    <t>プライマー</t>
  </si>
  <si>
    <t>エフレックスF1</t>
    <phoneticPr fontId="2"/>
  </si>
  <si>
    <t>必要に応じてF1希釈材で希釈(最大10%)</t>
    <rPh sb="0" eb="2">
      <t>ヒツヨウ</t>
    </rPh>
    <rPh sb="3" eb="4">
      <t>オウ</t>
    </rPh>
    <rPh sb="8" eb="10">
      <t>キシャク</t>
    </rPh>
    <rPh sb="10" eb="11">
      <t>ザイ</t>
    </rPh>
    <rPh sb="12" eb="14">
      <t>キシャク</t>
    </rPh>
    <rPh sb="15" eb="17">
      <t>サイダイ</t>
    </rPh>
    <phoneticPr fontId="2"/>
  </si>
  <si>
    <t>0.2kg/㎡</t>
    <phoneticPr fontId="2"/>
  </si>
  <si>
    <t>CPアンカーピン N-650</t>
    <phoneticPr fontId="2"/>
  </si>
  <si>
    <t>中塗り材(1回目)</t>
    <rPh sb="6" eb="8">
      <t>カイメ</t>
    </rPh>
    <phoneticPr fontId="2"/>
  </si>
  <si>
    <t>中塗り1材：水＝20:5～5.5</t>
    <rPh sb="0" eb="2">
      <t>ナカヌ</t>
    </rPh>
    <rPh sb="4" eb="5">
      <t>ザイ</t>
    </rPh>
    <rPh sb="6" eb="7">
      <t>ミズ</t>
    </rPh>
    <phoneticPr fontId="2"/>
  </si>
  <si>
    <t>CPアンカーピン N-670</t>
    <phoneticPr fontId="2"/>
  </si>
  <si>
    <t>ネット</t>
    <phoneticPr fontId="2"/>
  </si>
  <si>
    <t>VMネット</t>
    <phoneticPr fontId="2"/>
  </si>
  <si>
    <t>1.1㎡/㎡</t>
    <phoneticPr fontId="2"/>
  </si>
  <si>
    <t>CPアンカーピン N-610</t>
    <phoneticPr fontId="2"/>
  </si>
  <si>
    <t>注入口付アンカーピン</t>
  </si>
  <si>
    <t>CPアンカーピン N-650</t>
  </si>
  <si>
    <t>4本/㎡以上</t>
  </si>
  <si>
    <t>CPアンカーピン AL-670</t>
    <phoneticPr fontId="2"/>
  </si>
  <si>
    <t>注入材</t>
  </si>
  <si>
    <t>下地浮きあり</t>
    <rPh sb="0" eb="2">
      <t>シタジ</t>
    </rPh>
    <rPh sb="2" eb="3">
      <t>ウ</t>
    </rPh>
    <phoneticPr fontId="2"/>
  </si>
  <si>
    <t>中塗り材(2回目)</t>
    <rPh sb="6" eb="7">
      <t>カイ</t>
    </rPh>
    <rPh sb="7" eb="8">
      <t>メ</t>
    </rPh>
    <phoneticPr fontId="2"/>
  </si>
  <si>
    <t>下地浮きなし（仕上材の厚み25mm以下）</t>
    <rPh sb="0" eb="2">
      <t>シタジ</t>
    </rPh>
    <rPh sb="2" eb="3">
      <t>ウ</t>
    </rPh>
    <rPh sb="7" eb="9">
      <t>シアゲ</t>
    </rPh>
    <rPh sb="9" eb="10">
      <t>ザイ</t>
    </rPh>
    <rPh sb="11" eb="12">
      <t>アツ</t>
    </rPh>
    <rPh sb="17" eb="19">
      <t>イカ</t>
    </rPh>
    <phoneticPr fontId="2"/>
  </si>
  <si>
    <t>下地浮きなし（仕上材の厚み45mm以下）</t>
    <rPh sb="0" eb="2">
      <t>シタジ</t>
    </rPh>
    <rPh sb="2" eb="3">
      <t>ウ</t>
    </rPh>
    <rPh sb="7" eb="9">
      <t>シアゲ</t>
    </rPh>
    <rPh sb="9" eb="10">
      <t>ザイ</t>
    </rPh>
    <rPh sb="11" eb="12">
      <t>アツ</t>
    </rPh>
    <rPh sb="17" eb="19">
      <t>イカ</t>
    </rPh>
    <phoneticPr fontId="2"/>
  </si>
  <si>
    <t>アクアバインド工法</t>
    <rPh sb="7" eb="9">
      <t>コウホウ</t>
    </rPh>
    <phoneticPr fontId="2"/>
  </si>
  <si>
    <t>化粧キャップ</t>
  </si>
  <si>
    <t>1個/箇所</t>
  </si>
  <si>
    <t>E208</t>
  </si>
  <si>
    <t>CPアンカーピン E-535</t>
    <phoneticPr fontId="2"/>
  </si>
  <si>
    <t>アクアバインド プライマー</t>
  </si>
  <si>
    <t>0.1～0.15kg/㎡</t>
  </si>
  <si>
    <t>中塗り材</t>
  </si>
  <si>
    <t>アクアバインド ZⅡ</t>
  </si>
  <si>
    <t>0.2kg/㎡×3回</t>
  </si>
  <si>
    <t>CPアンカーピン AL-670WN</t>
    <phoneticPr fontId="2"/>
  </si>
  <si>
    <t>トップコート</t>
  </si>
  <si>
    <t>アクアトップコート</t>
  </si>
  <si>
    <t>0.05～0.06kg/㎡×2回</t>
  </si>
  <si>
    <t>ソルバインド工法</t>
    <rPh sb="6" eb="8">
      <t>コウホウ</t>
    </rPh>
    <phoneticPr fontId="2"/>
  </si>
  <si>
    <t>ソルバインドプライマー</t>
    <phoneticPr fontId="2"/>
  </si>
  <si>
    <t>ソルバインド中塗り</t>
    <rPh sb="6" eb="8">
      <t>ナカヌ</t>
    </rPh>
    <phoneticPr fontId="2"/>
  </si>
  <si>
    <t>0.3kg/㎡×２回</t>
    <phoneticPr fontId="2"/>
  </si>
  <si>
    <t>ソルバインドトップコート主剤</t>
    <rPh sb="12" eb="14">
      <t>シュザイ</t>
    </rPh>
    <phoneticPr fontId="2"/>
  </si>
  <si>
    <t>0.1～0.12kg/㎡×2回</t>
    <phoneticPr fontId="2"/>
  </si>
  <si>
    <t>ソルバインドトップコート硬化剤</t>
    <rPh sb="12" eb="14">
      <t>コウカ</t>
    </rPh>
    <rPh sb="14" eb="15">
      <t>ザイ</t>
    </rPh>
    <phoneticPr fontId="2"/>
  </si>
  <si>
    <t>　①施工数量を入力する。&lt;黄色セル&gt;</t>
    <rPh sb="2" eb="4">
      <t>セコウ</t>
    </rPh>
    <rPh sb="4" eb="6">
      <t>スウリョウ</t>
    </rPh>
    <rPh sb="7" eb="9">
      <t>ニュウリョク</t>
    </rPh>
    <phoneticPr fontId="2"/>
  </si>
  <si>
    <t>アクアディフェンダー工法</t>
    <rPh sb="10" eb="12">
      <t>コウホウ</t>
    </rPh>
    <phoneticPr fontId="2"/>
  </si>
  <si>
    <t>アクアディフェンダー</t>
    <phoneticPr fontId="2"/>
  </si>
  <si>
    <t>0.15～0.2kg/㎡×2回</t>
    <phoneticPr fontId="2"/>
  </si>
  <si>
    <t>主剤：硬化剤＝4：1</t>
    <rPh sb="0" eb="2">
      <t>シュザイ</t>
    </rPh>
    <rPh sb="3" eb="5">
      <t>コウカ</t>
    </rPh>
    <rPh sb="5" eb="6">
      <t>ザイ</t>
    </rPh>
    <phoneticPr fontId="2"/>
  </si>
  <si>
    <t>E206</t>
  </si>
  <si>
    <t>20本/㎡</t>
    <rPh sb="2" eb="3">
      <t>ホン</t>
    </rPh>
    <phoneticPr fontId="2"/>
  </si>
  <si>
    <t>30g/穴×20穴/㎡</t>
    <rPh sb="4" eb="5">
      <t>アナ</t>
    </rPh>
    <rPh sb="8" eb="9">
      <t>アナ</t>
    </rPh>
    <phoneticPr fontId="2"/>
  </si>
  <si>
    <t>30g/穴×13穴/㎡</t>
    <rPh sb="4" eb="5">
      <t>アナ</t>
    </rPh>
    <rPh sb="8" eb="9">
      <t>アナ</t>
    </rPh>
    <phoneticPr fontId="2"/>
  </si>
  <si>
    <t>エフレックスタイルワンアプリパック</t>
  </si>
  <si>
    <t>30g/穴×12穴/㎡</t>
    <rPh sb="4" eb="5">
      <t>アナ</t>
    </rPh>
    <rPh sb="8" eb="9">
      <t>アナ</t>
    </rPh>
    <phoneticPr fontId="2"/>
  </si>
  <si>
    <t>E207</t>
    <phoneticPr fontId="2"/>
  </si>
  <si>
    <t>カーボピンネット中塗り1材</t>
    <rPh sb="8" eb="10">
      <t>ナカヌ</t>
    </rPh>
    <rPh sb="12" eb="13">
      <t>ザイ</t>
    </rPh>
    <phoneticPr fontId="2"/>
  </si>
  <si>
    <t>20g/m</t>
    <phoneticPr fontId="2"/>
  </si>
  <si>
    <t>300～500g/㎡</t>
    <phoneticPr fontId="2"/>
  </si>
  <si>
    <t>1本/箇所</t>
    <rPh sb="1" eb="2">
      <t>ホン</t>
    </rPh>
    <rPh sb="3" eb="5">
      <t>カショ</t>
    </rPh>
    <phoneticPr fontId="2"/>
  </si>
  <si>
    <t>1個/箇所</t>
    <rPh sb="1" eb="2">
      <t>コ</t>
    </rPh>
    <rPh sb="3" eb="5">
      <t>カショ</t>
    </rPh>
    <phoneticPr fontId="2"/>
  </si>
  <si>
    <t>箇所</t>
    <rPh sb="0" eb="2">
      <t>カショ</t>
    </rPh>
    <phoneticPr fontId="2"/>
  </si>
  <si>
    <t>2.5～3.0kg/㎡(練上がり)</t>
    <rPh sb="12" eb="14">
      <t>ネリア</t>
    </rPh>
    <phoneticPr fontId="2"/>
  </si>
  <si>
    <t>1.5kg/㎡(練上がり)</t>
    <rPh sb="8" eb="10">
      <t>ネリア</t>
    </rPh>
    <phoneticPr fontId="2"/>
  </si>
  <si>
    <t>E600</t>
  </si>
  <si>
    <t>はくりシールONE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</si>
</sst>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#####&quot;kg/箇所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4" borderId="1" xfId="0" applyFont="1" applyFill="1" applyBorder="1" applyAlignment="1">
      <alignment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vertical="center" shrinkToFit="1"/>
    </xf>
    <xf numFmtId="0" fontId="1" fillId="0" borderId="15" xfId="0" applyFont="1" applyFill="1" applyBorder="1" applyAlignment="1">
      <alignment horizontal="left" vertical="center" shrinkToFit="1"/>
    </xf>
    <xf numFmtId="0" fontId="1" fillId="0" borderId="15" xfId="0" applyFont="1" applyBorder="1" applyAlignment="1">
      <alignment vertical="center" shrinkToFit="1"/>
    </xf>
    <xf numFmtId="0" fontId="1" fillId="0" borderId="16" xfId="0" applyFont="1" applyFill="1" applyBorder="1" applyAlignment="1">
      <alignment vertical="center" shrinkToFit="1"/>
    </xf>
    <xf numFmtId="0" fontId="1" fillId="0" borderId="16" xfId="0" applyFont="1" applyFill="1" applyBorder="1" applyAlignment="1">
      <alignment horizontal="left" vertical="center" shrinkToFit="1"/>
    </xf>
    <xf numFmtId="0" fontId="1" fillId="0" borderId="17" xfId="0" applyFont="1" applyFill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0" fontId="1" fillId="2" borderId="16" xfId="0" applyFont="1" applyFill="1" applyBorder="1" applyAlignment="1">
      <alignment vertical="center" shrinkToFit="1"/>
    </xf>
    <xf numFmtId="0" fontId="1" fillId="2" borderId="15" xfId="0" applyFont="1" applyFill="1" applyBorder="1" applyAlignment="1">
      <alignment vertical="center" shrinkToFit="1"/>
    </xf>
    <xf numFmtId="0" fontId="1" fillId="2" borderId="13" xfId="0" applyFont="1" applyFill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14" xfId="0" applyFont="1" applyFill="1" applyBorder="1" applyAlignment="1">
      <alignment vertical="center" shrinkToFit="1"/>
    </xf>
    <xf numFmtId="0" fontId="1" fillId="3" borderId="13" xfId="0" applyFont="1" applyFill="1" applyBorder="1" applyAlignment="1">
      <alignment vertical="center" shrinkToFit="1"/>
    </xf>
    <xf numFmtId="0" fontId="1" fillId="3" borderId="21" xfId="0" applyFont="1" applyFill="1" applyBorder="1" applyAlignment="1">
      <alignment vertical="center" shrinkToFit="1"/>
    </xf>
    <xf numFmtId="0" fontId="1" fillId="3" borderId="22" xfId="0" applyFont="1" applyFill="1" applyBorder="1" applyAlignment="1">
      <alignment vertical="center" shrinkToFit="1"/>
    </xf>
    <xf numFmtId="0" fontId="1" fillId="3" borderId="23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horizontal="left" vertical="center" shrinkToFit="1"/>
    </xf>
    <xf numFmtId="0" fontId="6" fillId="3" borderId="21" xfId="0" applyFont="1" applyFill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4" borderId="1" xfId="0" applyFont="1" applyFill="1" applyBorder="1" applyAlignment="1">
      <alignment horizontal="left" vertical="center" shrinkToFit="1"/>
    </xf>
    <xf numFmtId="0" fontId="6" fillId="4" borderId="1" xfId="0" applyFont="1" applyFill="1" applyBorder="1" applyAlignment="1">
      <alignment vertical="center" shrinkToFit="1"/>
    </xf>
    <xf numFmtId="0" fontId="1" fillId="2" borderId="17" xfId="0" applyFont="1" applyFill="1" applyBorder="1" applyAlignment="1">
      <alignment vertical="center" shrinkToFit="1"/>
    </xf>
    <xf numFmtId="0" fontId="6" fillId="2" borderId="15" xfId="0" applyFont="1" applyFill="1" applyBorder="1" applyAlignment="1">
      <alignment vertical="center" shrinkToFit="1"/>
    </xf>
    <xf numFmtId="0" fontId="6" fillId="2" borderId="16" xfId="0" applyFont="1" applyFill="1" applyBorder="1" applyAlignment="1">
      <alignment vertical="center" shrinkToFit="1"/>
    </xf>
    <xf numFmtId="0" fontId="1" fillId="0" borderId="19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vertical="center" shrinkToFit="1"/>
    </xf>
    <xf numFmtId="0" fontId="1" fillId="0" borderId="20" xfId="0" applyFont="1" applyFill="1" applyBorder="1" applyAlignment="1">
      <alignment vertical="center" shrinkToFit="1"/>
    </xf>
    <xf numFmtId="38" fontId="1" fillId="3" borderId="21" xfId="1" applyFont="1" applyFill="1" applyBorder="1" applyAlignment="1">
      <alignment vertical="center" shrinkToFit="1"/>
    </xf>
    <xf numFmtId="38" fontId="1" fillId="3" borderId="22" xfId="1" applyFont="1" applyFill="1" applyBorder="1" applyAlignment="1">
      <alignment vertical="center" shrinkToFit="1"/>
    </xf>
    <xf numFmtId="38" fontId="1" fillId="3" borderId="23" xfId="1" applyFont="1" applyFill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9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18" xfId="0" applyFont="1" applyFill="1" applyBorder="1" applyAlignment="1">
      <alignment vertical="center" shrinkToFit="1"/>
    </xf>
    <xf numFmtId="0" fontId="1" fillId="0" borderId="20" xfId="0" applyFont="1" applyFill="1" applyBorder="1" applyAlignment="1">
      <alignment vertical="center" shrinkToFit="1"/>
    </xf>
    <xf numFmtId="0" fontId="1" fillId="0" borderId="19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0" borderId="8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9" xfId="0" applyFont="1" applyFill="1" applyBorder="1" applyAlignment="1">
      <alignment vertical="center" shrinkToFit="1"/>
    </xf>
    <xf numFmtId="176" fontId="1" fillId="0" borderId="1" xfId="0" applyNumberFormat="1" applyFont="1" applyBorder="1" applyAlignment="1">
      <alignment horizontal="left" vertical="center" shrinkToFit="1"/>
    </xf>
    <xf numFmtId="0" fontId="1" fillId="4" borderId="1" xfId="0" applyFont="1" applyFill="1" applyBorder="1" applyAlignment="1">
      <alignment horizontal="left" vertical="center" shrinkToFit="1"/>
    </xf>
    <xf numFmtId="38" fontId="1" fillId="3" borderId="5" xfId="1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4" fillId="5" borderId="0" xfId="0" applyFont="1" applyFill="1" applyAlignment="1">
      <alignment horizontal="center" vertical="center" shrinkToFit="1"/>
    </xf>
    <xf numFmtId="0" fontId="1" fillId="0" borderId="8" xfId="0" applyFont="1" applyBorder="1" applyAlignment="1">
      <alignment vertical="center" wrapText="1" shrinkToFit="1"/>
    </xf>
    <xf numFmtId="0" fontId="1" fillId="0" borderId="8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0" borderId="3" xfId="0" applyFont="1" applyFill="1" applyBorder="1" applyAlignment="1">
      <alignment horizontal="left" vertical="center" shrinkToFit="1"/>
    </xf>
    <xf numFmtId="0" fontId="1" fillId="0" borderId="7" xfId="0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left" vertical="center" shrinkToFit="1"/>
    </xf>
    <xf numFmtId="0" fontId="1" fillId="0" borderId="9" xfId="0" applyFont="1" applyFill="1" applyBorder="1" applyAlignment="1">
      <alignment horizontal="left" vertical="center" shrinkToFit="1"/>
    </xf>
    <xf numFmtId="0" fontId="1" fillId="0" borderId="11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3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right" vertical="center" shrinkToFit="1"/>
    </xf>
    <xf numFmtId="0" fontId="1" fillId="0" borderId="11" xfId="0" applyFont="1" applyBorder="1" applyAlignment="1">
      <alignment vertical="center" wrapText="1" shrinkToFit="1"/>
    </xf>
    <xf numFmtId="0" fontId="1" fillId="0" borderId="2" xfId="0" applyFont="1" applyBorder="1" applyAlignment="1">
      <alignment vertical="center" wrapText="1" shrinkToFit="1"/>
    </xf>
    <xf numFmtId="0" fontId="1" fillId="0" borderId="3" xfId="0" applyFont="1" applyBorder="1" applyAlignment="1">
      <alignment vertical="center" wrapText="1" shrinkToFit="1"/>
    </xf>
    <xf numFmtId="0" fontId="1" fillId="4" borderId="13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left"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8" xfId="0" applyFont="1" applyFill="1" applyBorder="1" applyAlignment="1">
      <alignment vertical="center" shrinkToFit="1"/>
    </xf>
    <xf numFmtId="0" fontId="1" fillId="0" borderId="20" xfId="0" applyFont="1" applyFill="1" applyBorder="1" applyAlignment="1">
      <alignment vertical="center" shrinkToFit="1"/>
    </xf>
    <xf numFmtId="0" fontId="1" fillId="0" borderId="19" xfId="0" applyFont="1" applyFill="1" applyBorder="1" applyAlignment="1">
      <alignment vertical="center" shrinkToFit="1"/>
    </xf>
    <xf numFmtId="0" fontId="1" fillId="2" borderId="21" xfId="0" applyFont="1" applyFill="1" applyBorder="1" applyAlignment="1">
      <alignment vertical="center" shrinkToFit="1"/>
    </xf>
    <xf numFmtId="0" fontId="1" fillId="2" borderId="23" xfId="0" applyFont="1" applyFill="1" applyBorder="1" applyAlignment="1">
      <alignment vertical="center" shrinkToFit="1"/>
    </xf>
    <xf numFmtId="0" fontId="1" fillId="2" borderId="22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8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38" fontId="1" fillId="2" borderId="8" xfId="1" applyFont="1" applyFill="1" applyBorder="1" applyAlignment="1">
      <alignment horizontal="center" vertical="center" wrapText="1" shrinkToFit="1"/>
    </xf>
    <xf numFmtId="38" fontId="1" fillId="2" borderId="9" xfId="1" applyFont="1" applyFill="1" applyBorder="1" applyAlignment="1">
      <alignment horizontal="center" vertical="center" wrapText="1" shrinkToFit="1"/>
    </xf>
    <xf numFmtId="38" fontId="1" fillId="2" borderId="8" xfId="1" applyFont="1" applyFill="1" applyBorder="1" applyAlignment="1">
      <alignment horizontal="center" vertical="center" shrinkToFit="1"/>
    </xf>
    <xf numFmtId="38" fontId="1" fillId="2" borderId="9" xfId="1" applyFont="1" applyFill="1" applyBorder="1" applyAlignment="1">
      <alignment horizontal="center" vertical="center" shrinkToFit="1"/>
    </xf>
    <xf numFmtId="38" fontId="1" fillId="2" borderId="10" xfId="1" applyFont="1" applyFill="1" applyBorder="1" applyAlignment="1">
      <alignment horizontal="center" vertical="center" shrinkToFit="1"/>
    </xf>
    <xf numFmtId="38" fontId="1" fillId="2" borderId="1" xfId="1" applyFont="1" applyFill="1" applyBorder="1" applyAlignment="1">
      <alignment horizontal="center" vertical="center" shrinkToFit="1"/>
    </xf>
    <xf numFmtId="38" fontId="1" fillId="2" borderId="10" xfId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5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3FE1-B2E6-4953-9704-B4193D9468AA}">
  <dimension ref="B1:P26"/>
  <sheetViews>
    <sheetView view="pageBreakPreview" zoomScale="70" zoomScaleNormal="70" zoomScaleSheetLayoutView="70" workbookViewId="0">
      <selection activeCell="E22" sqref="E22"/>
    </sheetView>
  </sheetViews>
  <sheetFormatPr defaultRowHeight="17.5" x14ac:dyDescent="0.55000000000000004"/>
  <cols>
    <col min="1" max="1" width="3.08203125" style="2" customWidth="1"/>
    <col min="2" max="2" width="25.58203125" style="2" customWidth="1"/>
    <col min="3" max="3" width="20.58203125" style="2" customWidth="1"/>
    <col min="4" max="4" width="15.58203125" style="2" customWidth="1"/>
    <col min="5" max="5" width="25.58203125" style="2" customWidth="1"/>
    <col min="6" max="6" width="15.58203125" style="2" customWidth="1"/>
    <col min="7" max="10" width="5.58203125" style="2" customWidth="1"/>
    <col min="11" max="12" width="3.08203125" style="2" customWidth="1"/>
    <col min="13" max="13" width="8.6640625" style="2"/>
    <col min="14" max="14" width="30.58203125" style="2" customWidth="1"/>
    <col min="15" max="15" width="15.58203125" style="2" customWidth="1"/>
    <col min="16" max="16" width="10.58203125" style="2" customWidth="1"/>
    <col min="17" max="18" width="8.6640625" style="2"/>
    <col min="19" max="19" width="20.4140625" style="2" bestFit="1" customWidth="1"/>
    <col min="20" max="20" width="24.9140625" style="2" bestFit="1" customWidth="1"/>
    <col min="21" max="21" width="22.83203125" style="2" bestFit="1" customWidth="1"/>
    <col min="22" max="16384" width="8.6640625" style="2"/>
  </cols>
  <sheetData>
    <row r="1" spans="2:16" s="1" customFormat="1" ht="21" customHeight="1" x14ac:dyDescent="0.55000000000000004">
      <c r="B1" s="68" t="s">
        <v>57</v>
      </c>
      <c r="C1" s="68"/>
      <c r="D1" s="68"/>
      <c r="E1" s="68"/>
      <c r="F1" s="68"/>
      <c r="G1" s="68"/>
      <c r="H1" s="68"/>
      <c r="I1" s="68"/>
      <c r="J1" s="68"/>
    </row>
    <row r="3" spans="2:16" x14ac:dyDescent="0.55000000000000004">
      <c r="B3" s="78" t="s">
        <v>10</v>
      </c>
      <c r="C3" s="71" t="s">
        <v>168</v>
      </c>
      <c r="D3" s="72"/>
      <c r="E3" s="72"/>
      <c r="F3" s="72"/>
      <c r="G3" s="72"/>
      <c r="H3" s="72"/>
      <c r="I3" s="72"/>
      <c r="J3" s="72"/>
    </row>
    <row r="4" spans="2:16" x14ac:dyDescent="0.55000000000000004">
      <c r="B4" s="79"/>
      <c r="C4" s="73" t="s">
        <v>173</v>
      </c>
      <c r="D4" s="74"/>
      <c r="E4" s="74"/>
      <c r="F4" s="74"/>
      <c r="G4" s="74"/>
      <c r="H4" s="74"/>
      <c r="I4" s="74"/>
      <c r="J4" s="75"/>
    </row>
    <row r="5" spans="2:16" x14ac:dyDescent="0.55000000000000004">
      <c r="B5" s="78" t="s">
        <v>11</v>
      </c>
      <c r="C5" s="76" t="s">
        <v>8</v>
      </c>
      <c r="D5" s="76"/>
      <c r="E5" s="76"/>
      <c r="F5" s="76"/>
      <c r="G5" s="76"/>
      <c r="H5" s="76"/>
      <c r="I5" s="76"/>
      <c r="J5" s="77"/>
    </row>
    <row r="6" spans="2:16" x14ac:dyDescent="0.55000000000000004">
      <c r="B6" s="80"/>
      <c r="C6" s="81" t="s">
        <v>9</v>
      </c>
      <c r="D6" s="81"/>
      <c r="E6" s="81"/>
      <c r="F6" s="81"/>
      <c r="G6" s="81"/>
      <c r="H6" s="81"/>
      <c r="I6" s="81"/>
      <c r="J6" s="82"/>
    </row>
    <row r="7" spans="2:16" x14ac:dyDescent="0.55000000000000004">
      <c r="B7" s="80"/>
      <c r="C7" s="81" t="s">
        <v>89</v>
      </c>
      <c r="D7" s="81"/>
      <c r="E7" s="81"/>
      <c r="F7" s="81"/>
      <c r="G7" s="81"/>
      <c r="H7" s="81"/>
      <c r="I7" s="81"/>
      <c r="J7" s="82"/>
    </row>
    <row r="8" spans="2:16" x14ac:dyDescent="0.55000000000000004">
      <c r="B8" s="79"/>
      <c r="C8" s="74" t="s">
        <v>90</v>
      </c>
      <c r="D8" s="74"/>
      <c r="E8" s="74"/>
      <c r="F8" s="74"/>
      <c r="G8" s="74"/>
      <c r="H8" s="74"/>
      <c r="I8" s="74"/>
      <c r="J8" s="75"/>
    </row>
    <row r="10" spans="2:16" s="1" customFormat="1" ht="22.5" x14ac:dyDescent="0.55000000000000004">
      <c r="B10" s="70" t="s">
        <v>20</v>
      </c>
      <c r="C10" s="70"/>
      <c r="D10" s="70"/>
      <c r="E10" s="70"/>
      <c r="F10" s="70"/>
      <c r="G10" s="70"/>
      <c r="H10" s="70"/>
      <c r="I10" s="70"/>
      <c r="J10" s="70"/>
    </row>
    <row r="11" spans="2:16" ht="18" customHeight="1" x14ac:dyDescent="0.55000000000000004">
      <c r="N11" s="69" t="s">
        <v>19</v>
      </c>
      <c r="O11" s="69"/>
      <c r="P11" s="69"/>
    </row>
    <row r="12" spans="2:16" x14ac:dyDescent="0.55000000000000004">
      <c r="B12" s="4" t="s">
        <v>21</v>
      </c>
      <c r="C12" s="4" t="s">
        <v>24</v>
      </c>
      <c r="D12" s="4" t="s">
        <v>0</v>
      </c>
      <c r="E12" s="4" t="s">
        <v>1</v>
      </c>
      <c r="F12" s="4" t="s">
        <v>2</v>
      </c>
      <c r="G12" s="69" t="s">
        <v>3</v>
      </c>
      <c r="H12" s="69"/>
      <c r="I12" s="69" t="s">
        <v>4</v>
      </c>
      <c r="J12" s="69"/>
      <c r="N12" s="12" t="s">
        <v>163</v>
      </c>
      <c r="O12" s="12" t="s">
        <v>2</v>
      </c>
      <c r="P12" s="3" t="s">
        <v>115</v>
      </c>
    </row>
    <row r="13" spans="2:16" x14ac:dyDescent="0.55000000000000004">
      <c r="B13" s="85" t="s">
        <v>22</v>
      </c>
      <c r="C13" s="14" t="s">
        <v>25</v>
      </c>
      <c r="D13" s="14" t="s">
        <v>27</v>
      </c>
      <c r="E13" s="14" t="s">
        <v>29</v>
      </c>
      <c r="F13" s="14" t="s">
        <v>116</v>
      </c>
      <c r="G13" s="27">
        <v>30</v>
      </c>
      <c r="H13" s="37" t="s">
        <v>161</v>
      </c>
      <c r="I13" s="33">
        <f>G13*0.04</f>
        <v>1.2</v>
      </c>
      <c r="J13" s="28" t="s">
        <v>7</v>
      </c>
      <c r="N13" s="40" t="s">
        <v>31</v>
      </c>
      <c r="O13" s="41" t="s">
        <v>118</v>
      </c>
      <c r="P13" s="3" t="s">
        <v>60</v>
      </c>
    </row>
    <row r="14" spans="2:16" ht="17.5" customHeight="1" x14ac:dyDescent="0.55000000000000004">
      <c r="B14" s="85"/>
      <c r="C14" s="85" t="s">
        <v>26</v>
      </c>
      <c r="D14" s="19" t="s">
        <v>28</v>
      </c>
      <c r="E14" s="19" t="s">
        <v>30</v>
      </c>
      <c r="F14" s="19" t="s">
        <v>121</v>
      </c>
      <c r="G14" s="86">
        <v>30</v>
      </c>
      <c r="H14" s="89" t="s">
        <v>161</v>
      </c>
      <c r="I14" s="34">
        <f>G14*10</f>
        <v>300</v>
      </c>
      <c r="J14" s="29" t="s">
        <v>104</v>
      </c>
      <c r="N14" s="40" t="s">
        <v>35</v>
      </c>
      <c r="O14" s="41" t="s">
        <v>117</v>
      </c>
      <c r="P14" s="3" t="s">
        <v>7</v>
      </c>
    </row>
    <row r="15" spans="2:16" ht="18" customHeight="1" x14ac:dyDescent="0.55000000000000004">
      <c r="B15" s="85"/>
      <c r="C15" s="85"/>
      <c r="D15" s="24" t="s">
        <v>27</v>
      </c>
      <c r="E15" s="25" t="s">
        <v>164</v>
      </c>
      <c r="F15" s="24" t="str">
        <f>VLOOKUP(E15,N13:P14,2,FALSE)</f>
        <v>20ml/m</v>
      </c>
      <c r="G15" s="87"/>
      <c r="H15" s="90"/>
      <c r="I15" s="35">
        <f>IF(E15="UカットONE",G14*20,G14*0.03)</f>
        <v>600</v>
      </c>
      <c r="J15" s="30" t="str">
        <f>VLOOKUP(E15,N13:P14,3,FALSE)</f>
        <v>ml</v>
      </c>
      <c r="N15" s="40" t="s">
        <v>31</v>
      </c>
      <c r="O15" s="41" t="s">
        <v>120</v>
      </c>
      <c r="P15" s="3" t="s">
        <v>60</v>
      </c>
    </row>
    <row r="16" spans="2:16" x14ac:dyDescent="0.55000000000000004">
      <c r="B16" s="72" t="s">
        <v>32</v>
      </c>
      <c r="C16" s="72" t="s">
        <v>33</v>
      </c>
      <c r="D16" s="19" t="s">
        <v>28</v>
      </c>
      <c r="E16" s="19" t="s">
        <v>30</v>
      </c>
      <c r="F16" s="19" t="s">
        <v>252</v>
      </c>
      <c r="G16" s="86">
        <v>30</v>
      </c>
      <c r="H16" s="89" t="s">
        <v>161</v>
      </c>
      <c r="I16" s="34">
        <f>G16*20</f>
        <v>600</v>
      </c>
      <c r="J16" s="29" t="s">
        <v>104</v>
      </c>
      <c r="N16" s="40" t="s">
        <v>35</v>
      </c>
      <c r="O16" s="41" t="s">
        <v>119</v>
      </c>
      <c r="P16" s="3" t="s">
        <v>7</v>
      </c>
    </row>
    <row r="17" spans="2:16" ht="17.5" customHeight="1" x14ac:dyDescent="0.55000000000000004">
      <c r="B17" s="83"/>
      <c r="C17" s="84"/>
      <c r="D17" s="24" t="s">
        <v>27</v>
      </c>
      <c r="E17" s="25" t="s">
        <v>259</v>
      </c>
      <c r="F17" s="24" t="str">
        <f>VLOOKUP(E17,N15:P16,2,FALSE)</f>
        <v>0.2kg/m</v>
      </c>
      <c r="G17" s="87"/>
      <c r="H17" s="90"/>
      <c r="I17" s="35">
        <f>IF(E17="UカットONE",G16*150,G16*0.2)</f>
        <v>6</v>
      </c>
      <c r="J17" s="30" t="str">
        <f>VLOOKUP(E17,N15:P16,3,FALSE)</f>
        <v>kg</v>
      </c>
      <c r="N17" s="41" t="s">
        <v>38</v>
      </c>
      <c r="O17" s="41" t="s">
        <v>123</v>
      </c>
      <c r="P17" s="3" t="s">
        <v>5</v>
      </c>
    </row>
    <row r="18" spans="2:16" x14ac:dyDescent="0.55000000000000004">
      <c r="B18" s="83"/>
      <c r="C18" s="85" t="s">
        <v>34</v>
      </c>
      <c r="D18" s="19" t="s">
        <v>28</v>
      </c>
      <c r="E18" s="19" t="s">
        <v>36</v>
      </c>
      <c r="F18" s="19" t="s">
        <v>121</v>
      </c>
      <c r="G18" s="86">
        <v>30</v>
      </c>
      <c r="H18" s="89" t="s">
        <v>161</v>
      </c>
      <c r="I18" s="38">
        <f>G18*10</f>
        <v>300</v>
      </c>
      <c r="J18" s="39" t="s">
        <v>104</v>
      </c>
      <c r="N18" s="41" t="s">
        <v>39</v>
      </c>
      <c r="O18" s="41" t="s">
        <v>123</v>
      </c>
      <c r="P18" s="3" t="s">
        <v>5</v>
      </c>
    </row>
    <row r="19" spans="2:16" ht="18" customHeight="1" x14ac:dyDescent="0.55000000000000004">
      <c r="B19" s="84"/>
      <c r="C19" s="85"/>
      <c r="D19" s="24" t="s">
        <v>27</v>
      </c>
      <c r="E19" s="24" t="s">
        <v>37</v>
      </c>
      <c r="F19" s="24" t="s">
        <v>122</v>
      </c>
      <c r="G19" s="87"/>
      <c r="H19" s="90"/>
      <c r="I19" s="35">
        <f>G18*0.15</f>
        <v>4.5</v>
      </c>
      <c r="J19" s="30" t="s">
        <v>74</v>
      </c>
      <c r="N19" s="41" t="s">
        <v>29</v>
      </c>
      <c r="O19" s="41" t="s">
        <v>124</v>
      </c>
      <c r="P19" s="3" t="s">
        <v>7</v>
      </c>
    </row>
    <row r="20" spans="2:16" x14ac:dyDescent="0.55000000000000004">
      <c r="B20" s="72" t="s">
        <v>50</v>
      </c>
      <c r="C20" s="72"/>
      <c r="D20" s="19" t="s">
        <v>27</v>
      </c>
      <c r="E20" s="26" t="s">
        <v>260</v>
      </c>
      <c r="F20" s="19" t="str">
        <f>VLOOKUP(E20,N17:P21,2,FALSE)</f>
        <v>0.33本/m</v>
      </c>
      <c r="G20" s="86">
        <v>30</v>
      </c>
      <c r="H20" s="89" t="s">
        <v>161</v>
      </c>
      <c r="I20" s="34" cm="1">
        <f t="array" ref="I20">_xlfn.IFS(E20="はくりシールONE",ROUNDUP(G20/3,0),E20="はくりシールクイック",ROUNDUP(G20/3,0),TRUE,G20*0.3)</f>
        <v>10</v>
      </c>
      <c r="J20" s="29" t="str">
        <f>VLOOKUP(E20,N17:P21,3,FALSE)</f>
        <v>本</v>
      </c>
      <c r="N20" s="3" t="s">
        <v>40</v>
      </c>
      <c r="O20" s="3" t="s">
        <v>124</v>
      </c>
      <c r="P20" s="3" t="s">
        <v>7</v>
      </c>
    </row>
    <row r="21" spans="2:16" ht="18" customHeight="1" x14ac:dyDescent="0.55000000000000004">
      <c r="B21" s="83"/>
      <c r="C21" s="83"/>
      <c r="D21" s="23" t="s">
        <v>48</v>
      </c>
      <c r="E21" s="23" t="s">
        <v>42</v>
      </c>
      <c r="F21" s="23" t="s">
        <v>125</v>
      </c>
      <c r="G21" s="88"/>
      <c r="H21" s="91"/>
      <c r="I21" s="36">
        <f>G20*4</f>
        <v>120</v>
      </c>
      <c r="J21" s="31" t="s">
        <v>126</v>
      </c>
      <c r="N21" s="3" t="s">
        <v>41</v>
      </c>
      <c r="O21" s="3" t="s">
        <v>124</v>
      </c>
      <c r="P21" s="3" t="s">
        <v>7</v>
      </c>
    </row>
    <row r="22" spans="2:16" ht="18" customHeight="1" x14ac:dyDescent="0.55000000000000004">
      <c r="B22" s="84"/>
      <c r="C22" s="84"/>
      <c r="D22" s="24" t="s">
        <v>49</v>
      </c>
      <c r="E22" s="25" t="s">
        <v>244</v>
      </c>
      <c r="F22" s="24" t="s">
        <v>127</v>
      </c>
      <c r="G22" s="87"/>
      <c r="H22" s="90"/>
      <c r="I22" s="35">
        <f>G20*0.25</f>
        <v>7.5</v>
      </c>
      <c r="J22" s="30" t="s">
        <v>7</v>
      </c>
      <c r="N22" s="3" t="s">
        <v>43</v>
      </c>
      <c r="O22" s="3" t="s">
        <v>162</v>
      </c>
      <c r="P22" s="3" t="s">
        <v>7</v>
      </c>
    </row>
    <row r="23" spans="2:16" x14ac:dyDescent="0.55000000000000004">
      <c r="B23" s="14" t="s">
        <v>58</v>
      </c>
      <c r="C23" s="14"/>
      <c r="D23" s="14" t="s">
        <v>49</v>
      </c>
      <c r="E23" s="14" t="s">
        <v>59</v>
      </c>
      <c r="F23" s="14" t="s">
        <v>118</v>
      </c>
      <c r="G23" s="27">
        <v>30</v>
      </c>
      <c r="H23" s="37" t="s">
        <v>161</v>
      </c>
      <c r="I23" s="33">
        <f>G23*20</f>
        <v>600</v>
      </c>
      <c r="J23" s="28" t="s">
        <v>60</v>
      </c>
      <c r="N23" s="3" t="s">
        <v>44</v>
      </c>
      <c r="O23" s="3" t="s">
        <v>162</v>
      </c>
      <c r="P23" s="3" t="s">
        <v>7</v>
      </c>
    </row>
    <row r="24" spans="2:16" x14ac:dyDescent="0.55000000000000004">
      <c r="N24" s="3" t="s">
        <v>45</v>
      </c>
      <c r="O24" s="3" t="s">
        <v>162</v>
      </c>
      <c r="P24" s="3" t="s">
        <v>7</v>
      </c>
    </row>
    <row r="25" spans="2:16" x14ac:dyDescent="0.55000000000000004">
      <c r="N25" s="3" t="s">
        <v>46</v>
      </c>
      <c r="O25" s="3" t="s">
        <v>162</v>
      </c>
      <c r="P25" s="3" t="s">
        <v>7</v>
      </c>
    </row>
    <row r="26" spans="2:16" x14ac:dyDescent="0.55000000000000004">
      <c r="N26" s="3" t="s">
        <v>47</v>
      </c>
      <c r="O26" s="3" t="s">
        <v>162</v>
      </c>
      <c r="P26" s="3" t="s">
        <v>7</v>
      </c>
    </row>
  </sheetData>
  <mergeCells count="28">
    <mergeCell ref="N11:P11"/>
    <mergeCell ref="G14:G15"/>
    <mergeCell ref="G20:G22"/>
    <mergeCell ref="G18:G19"/>
    <mergeCell ref="G16:G17"/>
    <mergeCell ref="H14:H15"/>
    <mergeCell ref="H16:H17"/>
    <mergeCell ref="H18:H19"/>
    <mergeCell ref="H20:H22"/>
    <mergeCell ref="C20:C22"/>
    <mergeCell ref="B20:B22"/>
    <mergeCell ref="C16:C17"/>
    <mergeCell ref="B16:B19"/>
    <mergeCell ref="B13:B15"/>
    <mergeCell ref="C14:C15"/>
    <mergeCell ref="C18:C19"/>
    <mergeCell ref="B1:J1"/>
    <mergeCell ref="I12:J12"/>
    <mergeCell ref="B10:J10"/>
    <mergeCell ref="G12:H12"/>
    <mergeCell ref="C3:J3"/>
    <mergeCell ref="C4:J4"/>
    <mergeCell ref="C5:J5"/>
    <mergeCell ref="B3:B4"/>
    <mergeCell ref="B5:B8"/>
    <mergeCell ref="C6:J6"/>
    <mergeCell ref="C7:J7"/>
    <mergeCell ref="C8:J8"/>
  </mergeCells>
  <phoneticPr fontId="2"/>
  <dataValidations count="4">
    <dataValidation type="list" allowBlank="1" showInputMessage="1" showErrorMessage="1" sqref="E20" xr:uid="{DF8EC051-A7BA-409B-85BA-79FEFEB470A7}">
      <formula1>$N$17:$N$21</formula1>
    </dataValidation>
    <dataValidation type="list" allowBlank="1" showInputMessage="1" showErrorMessage="1" sqref="E22" xr:uid="{9550DC67-8B51-4470-BA18-AD7BF1019FF0}">
      <formula1>$N$22:$N$26</formula1>
    </dataValidation>
    <dataValidation type="list" allowBlank="1" showInputMessage="1" showErrorMessage="1" sqref="E15" xr:uid="{2367C7C5-15BF-4364-9CAB-EF5E114BFC46}">
      <formula1>$N$13:$N$14</formula1>
    </dataValidation>
    <dataValidation type="list" allowBlank="1" showInputMessage="1" showErrorMessage="1" sqref="E17" xr:uid="{3DD30AA3-5D0F-4AA3-9C28-D437B953A6AF}">
      <formula1>$N$15:$N$16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9333-57C9-4518-AF73-6DB98A975808}">
  <dimension ref="B1:R37"/>
  <sheetViews>
    <sheetView view="pageBreakPreview" topLeftCell="B1" zoomScale="70" zoomScaleNormal="70" zoomScaleSheetLayoutView="70" workbookViewId="0">
      <selection activeCell="D23" sqref="D23:D24"/>
    </sheetView>
  </sheetViews>
  <sheetFormatPr defaultRowHeight="17.5" x14ac:dyDescent="0.55000000000000004"/>
  <cols>
    <col min="1" max="1" width="3.08203125" style="2" customWidth="1"/>
    <col min="2" max="8" width="5.58203125" style="2" customWidth="1"/>
    <col min="9" max="9" width="20.58203125" style="2" customWidth="1"/>
    <col min="10" max="10" width="30.58203125" style="2" customWidth="1"/>
    <col min="11" max="11" width="20.58203125" style="2" customWidth="1"/>
    <col min="12" max="12" width="10.58203125" style="2" customWidth="1"/>
    <col min="13" max="13" width="5.58203125" style="2" customWidth="1"/>
    <col min="14" max="15" width="3.08203125" style="2" customWidth="1"/>
    <col min="16" max="16" width="8.6640625" style="2"/>
    <col min="17" max="17" width="30.58203125" style="2" customWidth="1"/>
    <col min="18" max="18" width="15.58203125" style="2" customWidth="1"/>
    <col min="19" max="20" width="8.6640625" style="2"/>
    <col min="21" max="21" width="20.4140625" style="2" bestFit="1" customWidth="1"/>
    <col min="22" max="22" width="24.9140625" style="2" bestFit="1" customWidth="1"/>
    <col min="23" max="23" width="22.83203125" style="2" bestFit="1" customWidth="1"/>
    <col min="24" max="16384" width="8.6640625" style="2"/>
  </cols>
  <sheetData>
    <row r="1" spans="2:18" s="1" customFormat="1" ht="21" customHeight="1" x14ac:dyDescent="0.55000000000000004">
      <c r="B1" s="68" t="s">
        <v>57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3" spans="2:18" ht="17.5" customHeight="1" x14ac:dyDescent="0.55000000000000004">
      <c r="B3" s="69" t="s">
        <v>10</v>
      </c>
      <c r="C3" s="69"/>
      <c r="D3" s="69"/>
      <c r="E3" s="69"/>
      <c r="F3" s="109" t="s">
        <v>170</v>
      </c>
      <c r="G3" s="110"/>
      <c r="H3" s="110"/>
      <c r="I3" s="110"/>
      <c r="J3" s="110"/>
      <c r="K3" s="110"/>
      <c r="L3" s="110"/>
      <c r="M3" s="111"/>
    </row>
    <row r="4" spans="2:18" x14ac:dyDescent="0.55000000000000004">
      <c r="B4" s="69"/>
      <c r="C4" s="69"/>
      <c r="D4" s="69"/>
      <c r="E4" s="69"/>
      <c r="F4" s="73" t="s">
        <v>175</v>
      </c>
      <c r="G4" s="74"/>
      <c r="H4" s="74"/>
      <c r="I4" s="74"/>
      <c r="J4" s="74"/>
      <c r="K4" s="74"/>
      <c r="L4" s="74"/>
      <c r="M4" s="75"/>
    </row>
    <row r="5" spans="2:18" x14ac:dyDescent="0.55000000000000004">
      <c r="B5" s="69" t="s">
        <v>11</v>
      </c>
      <c r="C5" s="69"/>
      <c r="D5" s="69"/>
      <c r="E5" s="69"/>
      <c r="F5" s="76" t="s">
        <v>8</v>
      </c>
      <c r="G5" s="76"/>
      <c r="H5" s="76"/>
      <c r="I5" s="76"/>
      <c r="J5" s="76"/>
      <c r="K5" s="76"/>
      <c r="L5" s="76"/>
      <c r="M5" s="77"/>
    </row>
    <row r="6" spans="2:18" x14ac:dyDescent="0.55000000000000004">
      <c r="B6" s="69"/>
      <c r="C6" s="69"/>
      <c r="D6" s="69"/>
      <c r="E6" s="69"/>
      <c r="F6" s="81" t="s">
        <v>9</v>
      </c>
      <c r="G6" s="81"/>
      <c r="H6" s="81"/>
      <c r="I6" s="81"/>
      <c r="J6" s="81"/>
      <c r="K6" s="81"/>
      <c r="L6" s="81"/>
      <c r="M6" s="82"/>
    </row>
    <row r="7" spans="2:18" x14ac:dyDescent="0.55000000000000004">
      <c r="B7" s="69"/>
      <c r="C7" s="69"/>
      <c r="D7" s="69"/>
      <c r="E7" s="69"/>
      <c r="F7" s="81" t="s">
        <v>89</v>
      </c>
      <c r="G7" s="81"/>
      <c r="H7" s="81"/>
      <c r="I7" s="81"/>
      <c r="J7" s="81"/>
      <c r="K7" s="81"/>
      <c r="L7" s="81"/>
      <c r="M7" s="82"/>
    </row>
    <row r="8" spans="2:18" x14ac:dyDescent="0.55000000000000004">
      <c r="B8" s="69"/>
      <c r="C8" s="69"/>
      <c r="D8" s="69"/>
      <c r="E8" s="69"/>
      <c r="F8" s="74" t="s">
        <v>90</v>
      </c>
      <c r="G8" s="74"/>
      <c r="H8" s="74"/>
      <c r="I8" s="74"/>
      <c r="J8" s="74"/>
      <c r="K8" s="74"/>
      <c r="L8" s="74"/>
      <c r="M8" s="75"/>
    </row>
    <row r="10" spans="2:18" s="1" customFormat="1" ht="22.5" x14ac:dyDescent="0.55000000000000004">
      <c r="B10" s="70" t="s">
        <v>71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2:18" x14ac:dyDescent="0.55000000000000004">
      <c r="Q11" s="69" t="s">
        <v>19</v>
      </c>
      <c r="R11" s="69"/>
    </row>
    <row r="12" spans="2:18" ht="40" customHeight="1" x14ac:dyDescent="0.55000000000000004">
      <c r="B12" s="7"/>
      <c r="C12" s="11" t="s">
        <v>85</v>
      </c>
      <c r="D12" s="11" t="s">
        <v>86</v>
      </c>
      <c r="E12" s="9" t="s">
        <v>87</v>
      </c>
      <c r="F12" s="7" t="s">
        <v>72</v>
      </c>
      <c r="G12" s="112" t="s">
        <v>77</v>
      </c>
      <c r="H12" s="113"/>
      <c r="I12" s="7" t="s">
        <v>0</v>
      </c>
      <c r="J12" s="7" t="s">
        <v>1</v>
      </c>
      <c r="K12" s="7" t="s">
        <v>88</v>
      </c>
      <c r="L12" s="69" t="s">
        <v>4</v>
      </c>
      <c r="M12" s="69"/>
      <c r="Q12" s="12" t="s">
        <v>1</v>
      </c>
      <c r="R12" s="12" t="s">
        <v>111</v>
      </c>
    </row>
    <row r="13" spans="2:18" x14ac:dyDescent="0.55000000000000004">
      <c r="B13" s="99" t="s">
        <v>78</v>
      </c>
      <c r="C13" s="101">
        <v>100</v>
      </c>
      <c r="D13" s="103">
        <v>200</v>
      </c>
      <c r="E13" s="103">
        <v>30</v>
      </c>
      <c r="F13" s="103">
        <v>40</v>
      </c>
      <c r="G13" s="95">
        <f>C13*D13*E13/1000000*F13</f>
        <v>24</v>
      </c>
      <c r="H13" s="97" t="s">
        <v>74</v>
      </c>
      <c r="I13" s="17" t="s">
        <v>75</v>
      </c>
      <c r="J13" s="26" t="s">
        <v>165</v>
      </c>
      <c r="K13" s="18">
        <f>VLOOKUP(J13,$Q$13:$R$16,2,FALSE)</f>
        <v>0.75</v>
      </c>
      <c r="L13" s="34">
        <f>G13*K13</f>
        <v>18</v>
      </c>
      <c r="M13" s="29" t="s">
        <v>7</v>
      </c>
      <c r="Q13" s="3" t="s">
        <v>73</v>
      </c>
      <c r="R13" s="3">
        <v>0.75</v>
      </c>
    </row>
    <row r="14" spans="2:18" x14ac:dyDescent="0.55000000000000004">
      <c r="B14" s="100"/>
      <c r="C14" s="102"/>
      <c r="D14" s="104"/>
      <c r="E14" s="104"/>
      <c r="F14" s="104"/>
      <c r="G14" s="105"/>
      <c r="H14" s="106"/>
      <c r="I14" s="20" t="s">
        <v>28</v>
      </c>
      <c r="J14" s="20" t="s">
        <v>76</v>
      </c>
      <c r="K14" s="21" t="s">
        <v>253</v>
      </c>
      <c r="L14" s="49">
        <f>ROUNDUP(((C13*D13)+(C13+D13)*2*E13)*F13/1000000*400,2)</f>
        <v>608</v>
      </c>
      <c r="M14" s="52" t="s">
        <v>104</v>
      </c>
      <c r="Q14" s="3" t="s">
        <v>151</v>
      </c>
      <c r="R14" s="3">
        <v>1.5</v>
      </c>
    </row>
    <row r="15" spans="2:18" ht="18" customHeight="1" x14ac:dyDescent="0.55000000000000004">
      <c r="B15" s="99" t="s">
        <v>79</v>
      </c>
      <c r="C15" s="101">
        <v>100</v>
      </c>
      <c r="D15" s="103">
        <v>50</v>
      </c>
      <c r="E15" s="103">
        <v>10</v>
      </c>
      <c r="F15" s="103">
        <v>100</v>
      </c>
      <c r="G15" s="95">
        <f>C15*D15*E15/1000000*F15</f>
        <v>5</v>
      </c>
      <c r="H15" s="97" t="s">
        <v>74</v>
      </c>
      <c r="I15" s="17" t="s">
        <v>75</v>
      </c>
      <c r="J15" s="26" t="s">
        <v>186</v>
      </c>
      <c r="K15" s="18">
        <f>VLOOKUP(J15,$Q$13:$R$16,2,FALSE)</f>
        <v>1.6</v>
      </c>
      <c r="L15" s="34">
        <f>G15*K15</f>
        <v>8</v>
      </c>
      <c r="M15" s="29" t="s">
        <v>7</v>
      </c>
      <c r="Q15" s="3" t="s">
        <v>152</v>
      </c>
      <c r="R15" s="3">
        <v>1.05</v>
      </c>
    </row>
    <row r="16" spans="2:18" x14ac:dyDescent="0.55000000000000004">
      <c r="B16" s="100"/>
      <c r="C16" s="102"/>
      <c r="D16" s="104"/>
      <c r="E16" s="104"/>
      <c r="F16" s="104"/>
      <c r="G16" s="105"/>
      <c r="H16" s="106"/>
      <c r="I16" s="20" t="s">
        <v>28</v>
      </c>
      <c r="J16" s="20" t="s">
        <v>76</v>
      </c>
      <c r="K16" s="21" t="s">
        <v>253</v>
      </c>
      <c r="L16" s="49">
        <f>ROUNDUP(((C15*D15)+(C15+D15)*2*E15)*F15/1000000*400,2)</f>
        <v>320</v>
      </c>
      <c r="M16" s="64" t="s">
        <v>104</v>
      </c>
      <c r="Q16" s="3" t="s">
        <v>186</v>
      </c>
      <c r="R16" s="3">
        <v>1.6</v>
      </c>
    </row>
    <row r="17" spans="2:13" ht="18" customHeight="1" x14ac:dyDescent="0.55000000000000004">
      <c r="B17" s="99" t="s">
        <v>80</v>
      </c>
      <c r="C17" s="101">
        <v>50</v>
      </c>
      <c r="D17" s="103">
        <v>50</v>
      </c>
      <c r="E17" s="103">
        <v>10</v>
      </c>
      <c r="F17" s="103">
        <v>60</v>
      </c>
      <c r="G17" s="95">
        <f>C17*D17*E17/1000000*F17</f>
        <v>1.5</v>
      </c>
      <c r="H17" s="97" t="s">
        <v>74</v>
      </c>
      <c r="I17" s="17" t="s">
        <v>75</v>
      </c>
      <c r="J17" s="26" t="s">
        <v>166</v>
      </c>
      <c r="K17" s="18">
        <f>VLOOKUP(J17,$Q$13:$R$16,2,FALSE)</f>
        <v>1.5</v>
      </c>
      <c r="L17" s="34">
        <f>G17*K17</f>
        <v>2.25</v>
      </c>
      <c r="M17" s="29" t="s">
        <v>7</v>
      </c>
    </row>
    <row r="18" spans="2:13" x14ac:dyDescent="0.55000000000000004">
      <c r="B18" s="100"/>
      <c r="C18" s="102"/>
      <c r="D18" s="104"/>
      <c r="E18" s="104"/>
      <c r="F18" s="104"/>
      <c r="G18" s="105"/>
      <c r="H18" s="106"/>
      <c r="I18" s="20" t="s">
        <v>28</v>
      </c>
      <c r="J18" s="20" t="s">
        <v>76</v>
      </c>
      <c r="K18" s="21" t="s">
        <v>253</v>
      </c>
      <c r="L18" s="49">
        <f>ROUNDUP(((C17*D17)+(C17+D17)*2*E17)*F17/1000000*400,2)</f>
        <v>108</v>
      </c>
      <c r="M18" s="64" t="s">
        <v>104</v>
      </c>
    </row>
    <row r="19" spans="2:13" ht="18" customHeight="1" x14ac:dyDescent="0.55000000000000004">
      <c r="B19" s="99" t="s">
        <v>81</v>
      </c>
      <c r="C19" s="101">
        <v>1000</v>
      </c>
      <c r="D19" s="103">
        <v>1000</v>
      </c>
      <c r="E19" s="103">
        <v>20</v>
      </c>
      <c r="F19" s="103">
        <v>30</v>
      </c>
      <c r="G19" s="95">
        <f>C19*D19*E19/1000000*F19</f>
        <v>600</v>
      </c>
      <c r="H19" s="97" t="s">
        <v>74</v>
      </c>
      <c r="I19" s="17" t="s">
        <v>75</v>
      </c>
      <c r="J19" s="26" t="s">
        <v>165</v>
      </c>
      <c r="K19" s="18">
        <f>VLOOKUP(J19,$Q$13:$R$16,2,FALSE)</f>
        <v>0.75</v>
      </c>
      <c r="L19" s="34">
        <f>G19*K19</f>
        <v>450</v>
      </c>
      <c r="M19" s="29" t="s">
        <v>7</v>
      </c>
    </row>
    <row r="20" spans="2:13" x14ac:dyDescent="0.55000000000000004">
      <c r="B20" s="100"/>
      <c r="C20" s="102"/>
      <c r="D20" s="104"/>
      <c r="E20" s="104"/>
      <c r="F20" s="104"/>
      <c r="G20" s="105"/>
      <c r="H20" s="106"/>
      <c r="I20" s="20" t="s">
        <v>28</v>
      </c>
      <c r="J20" s="20" t="s">
        <v>76</v>
      </c>
      <c r="K20" s="21" t="s">
        <v>253</v>
      </c>
      <c r="L20" s="49">
        <f>ROUNDUP(((C19*D19)+(C19+D19)*2*E19)*F19/1000000*400,2)</f>
        <v>12960</v>
      </c>
      <c r="M20" s="64" t="s">
        <v>104</v>
      </c>
    </row>
    <row r="21" spans="2:13" ht="17.5" customHeight="1" x14ac:dyDescent="0.55000000000000004">
      <c r="B21" s="99" t="s">
        <v>82</v>
      </c>
      <c r="C21" s="101"/>
      <c r="D21" s="103"/>
      <c r="E21" s="103"/>
      <c r="F21" s="103"/>
      <c r="G21" s="95">
        <f>C21*D21*E21/1000000*F21</f>
        <v>0</v>
      </c>
      <c r="H21" s="97" t="s">
        <v>74</v>
      </c>
      <c r="I21" s="17" t="s">
        <v>75</v>
      </c>
      <c r="J21" s="26" t="s">
        <v>186</v>
      </c>
      <c r="K21" s="18">
        <f>VLOOKUP(J21,$Q$13:$R$16,2,FALSE)</f>
        <v>1.6</v>
      </c>
      <c r="L21" s="34">
        <f>G21*K21</f>
        <v>0</v>
      </c>
      <c r="M21" s="29" t="s">
        <v>7</v>
      </c>
    </row>
    <row r="22" spans="2:13" ht="17.5" customHeight="1" x14ac:dyDescent="0.55000000000000004">
      <c r="B22" s="100"/>
      <c r="C22" s="102"/>
      <c r="D22" s="104"/>
      <c r="E22" s="104"/>
      <c r="F22" s="104"/>
      <c r="G22" s="105"/>
      <c r="H22" s="106"/>
      <c r="I22" s="20" t="s">
        <v>28</v>
      </c>
      <c r="J22" s="20" t="s">
        <v>76</v>
      </c>
      <c r="K22" s="21" t="s">
        <v>253</v>
      </c>
      <c r="L22" s="49">
        <f>ROUNDUP(((C21*D21)+(C21+D21)*2*E21)*F21/1000000*400,2)</f>
        <v>0</v>
      </c>
      <c r="M22" s="64" t="s">
        <v>104</v>
      </c>
    </row>
    <row r="23" spans="2:13" ht="17.5" customHeight="1" x14ac:dyDescent="0.55000000000000004">
      <c r="B23" s="99" t="s">
        <v>83</v>
      </c>
      <c r="C23" s="101"/>
      <c r="D23" s="103"/>
      <c r="E23" s="103"/>
      <c r="F23" s="103"/>
      <c r="G23" s="95">
        <f>C23*D23*E23/1000000*F23</f>
        <v>0</v>
      </c>
      <c r="H23" s="97" t="s">
        <v>74</v>
      </c>
      <c r="I23" s="17" t="s">
        <v>75</v>
      </c>
      <c r="J23" s="26" t="s">
        <v>165</v>
      </c>
      <c r="K23" s="18">
        <f>VLOOKUP(J23,$Q$13:$R$16,2,FALSE)</f>
        <v>0.75</v>
      </c>
      <c r="L23" s="34">
        <f>G23*K23</f>
        <v>0</v>
      </c>
      <c r="M23" s="29" t="s">
        <v>7</v>
      </c>
    </row>
    <row r="24" spans="2:13" ht="17.5" customHeight="1" x14ac:dyDescent="0.55000000000000004">
      <c r="B24" s="107"/>
      <c r="C24" s="102"/>
      <c r="D24" s="104"/>
      <c r="E24" s="104"/>
      <c r="F24" s="104"/>
      <c r="G24" s="96"/>
      <c r="H24" s="98"/>
      <c r="I24" s="20" t="s">
        <v>28</v>
      </c>
      <c r="J24" s="20" t="s">
        <v>76</v>
      </c>
      <c r="K24" s="21" t="s">
        <v>253</v>
      </c>
      <c r="L24" s="49">
        <f>ROUNDUP(((C23*D23)+(C23+D23)*2*E23)*F23/1000000*400,2)</f>
        <v>0</v>
      </c>
      <c r="M24" s="64" t="s">
        <v>104</v>
      </c>
    </row>
    <row r="25" spans="2:13" ht="17.5" customHeight="1" x14ac:dyDescent="0.55000000000000004">
      <c r="B25" s="99" t="s">
        <v>178</v>
      </c>
      <c r="C25" s="101"/>
      <c r="D25" s="103"/>
      <c r="E25" s="103"/>
      <c r="F25" s="103"/>
      <c r="G25" s="95">
        <f>C25*D25*E25/1000000*F25</f>
        <v>0</v>
      </c>
      <c r="H25" s="97" t="s">
        <v>74</v>
      </c>
      <c r="I25" s="17" t="s">
        <v>75</v>
      </c>
      <c r="J25" s="26" t="s">
        <v>165</v>
      </c>
      <c r="K25" s="18">
        <f>VLOOKUP(J25,$Q$13:$R$16,2,FALSE)</f>
        <v>0.75</v>
      </c>
      <c r="L25" s="34">
        <f>G25*K25</f>
        <v>0</v>
      </c>
      <c r="M25" s="29" t="s">
        <v>7</v>
      </c>
    </row>
    <row r="26" spans="2:13" ht="17.5" customHeight="1" x14ac:dyDescent="0.55000000000000004">
      <c r="B26" s="100"/>
      <c r="C26" s="102"/>
      <c r="D26" s="104"/>
      <c r="E26" s="104"/>
      <c r="F26" s="104"/>
      <c r="G26" s="105"/>
      <c r="H26" s="106"/>
      <c r="I26" s="20" t="s">
        <v>28</v>
      </c>
      <c r="J26" s="20" t="s">
        <v>76</v>
      </c>
      <c r="K26" s="21" t="s">
        <v>253</v>
      </c>
      <c r="L26" s="49">
        <f>ROUNDUP(((C25*D25)+(C25+D25)*2*E25)*F25/1000000*400,2)</f>
        <v>0</v>
      </c>
      <c r="M26" s="64" t="s">
        <v>104</v>
      </c>
    </row>
    <row r="27" spans="2:13" ht="17.5" customHeight="1" x14ac:dyDescent="0.55000000000000004">
      <c r="B27" s="99" t="s">
        <v>179</v>
      </c>
      <c r="C27" s="101"/>
      <c r="D27" s="103"/>
      <c r="E27" s="103"/>
      <c r="F27" s="103"/>
      <c r="G27" s="95">
        <f>C27*D27*E27/1000000*F27</f>
        <v>0</v>
      </c>
      <c r="H27" s="97" t="s">
        <v>74</v>
      </c>
      <c r="I27" s="17" t="s">
        <v>75</v>
      </c>
      <c r="J27" s="26" t="s">
        <v>165</v>
      </c>
      <c r="K27" s="18">
        <f>VLOOKUP(J27,$Q$13:$R$16,2,FALSE)</f>
        <v>0.75</v>
      </c>
      <c r="L27" s="34">
        <f>G27*K27</f>
        <v>0</v>
      </c>
      <c r="M27" s="29" t="s">
        <v>7</v>
      </c>
    </row>
    <row r="28" spans="2:13" ht="17.5" customHeight="1" x14ac:dyDescent="0.55000000000000004">
      <c r="B28" s="100"/>
      <c r="C28" s="102"/>
      <c r="D28" s="104"/>
      <c r="E28" s="104"/>
      <c r="F28" s="104"/>
      <c r="G28" s="105"/>
      <c r="H28" s="106"/>
      <c r="I28" s="20" t="s">
        <v>28</v>
      </c>
      <c r="J28" s="20" t="s">
        <v>76</v>
      </c>
      <c r="K28" s="21" t="s">
        <v>253</v>
      </c>
      <c r="L28" s="49">
        <f>ROUNDUP(((C27*D27)+(C27+D27)*2*E27)*F27/1000000*400,2)</f>
        <v>0</v>
      </c>
      <c r="M28" s="64" t="s">
        <v>104</v>
      </c>
    </row>
    <row r="29" spans="2:13" ht="17.5" customHeight="1" x14ac:dyDescent="0.55000000000000004">
      <c r="B29" s="99" t="s">
        <v>180</v>
      </c>
      <c r="C29" s="101"/>
      <c r="D29" s="103"/>
      <c r="E29" s="103"/>
      <c r="F29" s="103"/>
      <c r="G29" s="95">
        <f>C29*D29*E29/1000000*F29</f>
        <v>0</v>
      </c>
      <c r="H29" s="97" t="s">
        <v>74</v>
      </c>
      <c r="I29" s="17" t="s">
        <v>75</v>
      </c>
      <c r="J29" s="26" t="s">
        <v>165</v>
      </c>
      <c r="K29" s="18">
        <f>VLOOKUP(J29,$Q$13:$R$16,2,FALSE)</f>
        <v>0.75</v>
      </c>
      <c r="L29" s="34">
        <f>G29*K29</f>
        <v>0</v>
      </c>
      <c r="M29" s="29" t="s">
        <v>7</v>
      </c>
    </row>
    <row r="30" spans="2:13" ht="17.5" customHeight="1" x14ac:dyDescent="0.55000000000000004">
      <c r="B30" s="107"/>
      <c r="C30" s="102"/>
      <c r="D30" s="104"/>
      <c r="E30" s="104"/>
      <c r="F30" s="104"/>
      <c r="G30" s="96"/>
      <c r="H30" s="98"/>
      <c r="I30" s="20" t="s">
        <v>28</v>
      </c>
      <c r="J30" s="20" t="s">
        <v>76</v>
      </c>
      <c r="K30" s="21" t="s">
        <v>253</v>
      </c>
      <c r="L30" s="49">
        <f>ROUNDUP(((C29*D29)+(C29+D29)*2*E29)*F29/1000000*400,2)</f>
        <v>0</v>
      </c>
      <c r="M30" s="64" t="s">
        <v>104</v>
      </c>
    </row>
    <row r="31" spans="2:13" ht="17.5" customHeight="1" x14ac:dyDescent="0.55000000000000004">
      <c r="B31" s="99" t="s">
        <v>181</v>
      </c>
      <c r="C31" s="101"/>
      <c r="D31" s="103"/>
      <c r="E31" s="103"/>
      <c r="F31" s="103"/>
      <c r="G31" s="95">
        <f>C31*D31*E31/1000000*F31</f>
        <v>0</v>
      </c>
      <c r="H31" s="97" t="s">
        <v>74</v>
      </c>
      <c r="I31" s="17" t="s">
        <v>75</v>
      </c>
      <c r="J31" s="26" t="s">
        <v>165</v>
      </c>
      <c r="K31" s="18">
        <f>VLOOKUP(J31,$Q$13:$R$16,2,FALSE)</f>
        <v>0.75</v>
      </c>
      <c r="L31" s="34">
        <f>G31*K31</f>
        <v>0</v>
      </c>
      <c r="M31" s="29" t="s">
        <v>7</v>
      </c>
    </row>
    <row r="32" spans="2:13" ht="17.5" customHeight="1" x14ac:dyDescent="0.55000000000000004">
      <c r="B32" s="100"/>
      <c r="C32" s="102"/>
      <c r="D32" s="104"/>
      <c r="E32" s="104"/>
      <c r="F32" s="104"/>
      <c r="G32" s="105"/>
      <c r="H32" s="106"/>
      <c r="I32" s="20" t="s">
        <v>28</v>
      </c>
      <c r="J32" s="20" t="s">
        <v>76</v>
      </c>
      <c r="K32" s="21" t="s">
        <v>253</v>
      </c>
      <c r="L32" s="49">
        <f>ROUNDUP(((C31*D31)+(C31+D31)*2*E31)*F31/1000000*400,2)</f>
        <v>0</v>
      </c>
      <c r="M32" s="64" t="s">
        <v>104</v>
      </c>
    </row>
    <row r="33" spans="2:13" ht="18.5" customHeight="1" x14ac:dyDescent="0.55000000000000004">
      <c r="J33" s="54"/>
      <c r="K33" s="54"/>
    </row>
    <row r="34" spans="2:13" ht="18.5" customHeight="1" x14ac:dyDescent="0.55000000000000004">
      <c r="B34" s="69" t="s">
        <v>84</v>
      </c>
      <c r="C34" s="69"/>
      <c r="D34" s="69"/>
      <c r="E34" s="69"/>
      <c r="F34" s="69"/>
      <c r="G34" s="108">
        <f>SUM(G13:G24)</f>
        <v>630.5</v>
      </c>
      <c r="H34" s="114" t="s">
        <v>74</v>
      </c>
      <c r="I34" s="92" t="s">
        <v>75</v>
      </c>
      <c r="J34" s="26" t="s">
        <v>165</v>
      </c>
      <c r="K34" s="17"/>
      <c r="L34" s="34">
        <f>SUMIF(J13:J32,J34,L13:L32)</f>
        <v>468</v>
      </c>
      <c r="M34" s="55" t="s">
        <v>7</v>
      </c>
    </row>
    <row r="35" spans="2:13" ht="18.5" customHeight="1" x14ac:dyDescent="0.55000000000000004">
      <c r="B35" s="69"/>
      <c r="C35" s="69"/>
      <c r="D35" s="69"/>
      <c r="E35" s="69"/>
      <c r="F35" s="69"/>
      <c r="G35" s="108"/>
      <c r="H35" s="114"/>
      <c r="I35" s="93"/>
      <c r="J35" s="42" t="s">
        <v>166</v>
      </c>
      <c r="K35" s="22"/>
      <c r="L35" s="36">
        <f>SUMIF(J13:J32,J35,L13:L32)</f>
        <v>2.25</v>
      </c>
      <c r="M35" s="56" t="s">
        <v>7</v>
      </c>
    </row>
    <row r="36" spans="2:13" ht="18.5" customHeight="1" x14ac:dyDescent="0.55000000000000004">
      <c r="B36" s="69"/>
      <c r="C36" s="69"/>
      <c r="D36" s="69"/>
      <c r="E36" s="69"/>
      <c r="F36" s="69"/>
      <c r="G36" s="108"/>
      <c r="H36" s="114"/>
      <c r="I36" s="94"/>
      <c r="J36" s="25" t="s">
        <v>186</v>
      </c>
      <c r="K36" s="20"/>
      <c r="L36" s="35">
        <f>SUMIF(J13:J32,J36,L13:L32)</f>
        <v>8</v>
      </c>
      <c r="M36" s="57" t="s">
        <v>7</v>
      </c>
    </row>
    <row r="37" spans="2:13" x14ac:dyDescent="0.55000000000000004">
      <c r="B37" s="69"/>
      <c r="C37" s="69"/>
      <c r="D37" s="69"/>
      <c r="E37" s="69"/>
      <c r="F37" s="69"/>
      <c r="G37" s="108"/>
      <c r="H37" s="114"/>
      <c r="I37" s="59" t="s">
        <v>28</v>
      </c>
      <c r="J37" s="59" t="s">
        <v>76</v>
      </c>
      <c r="K37" s="59"/>
      <c r="L37" s="67">
        <f>SUMIF(J13:J24,J37,L13:L24)</f>
        <v>13996</v>
      </c>
      <c r="M37" s="58" t="s">
        <v>104</v>
      </c>
    </row>
  </sheetData>
  <mergeCells count="87">
    <mergeCell ref="H34:H37"/>
    <mergeCell ref="B34:F37"/>
    <mergeCell ref="B13:B14"/>
    <mergeCell ref="B15:B16"/>
    <mergeCell ref="B17:B18"/>
    <mergeCell ref="B19:B20"/>
    <mergeCell ref="B21:B22"/>
    <mergeCell ref="B23:B24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H19:H20"/>
    <mergeCell ref="H17:H18"/>
    <mergeCell ref="C19:C20"/>
    <mergeCell ref="D19:D20"/>
    <mergeCell ref="E19:E20"/>
    <mergeCell ref="F19:F20"/>
    <mergeCell ref="G19:G20"/>
    <mergeCell ref="C17:C18"/>
    <mergeCell ref="D17:D18"/>
    <mergeCell ref="E17:E18"/>
    <mergeCell ref="F17:F18"/>
    <mergeCell ref="G17:G18"/>
    <mergeCell ref="H13:H14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Q11:R11"/>
    <mergeCell ref="L12:M12"/>
    <mergeCell ref="B1:M1"/>
    <mergeCell ref="B3:E4"/>
    <mergeCell ref="F3:M3"/>
    <mergeCell ref="F4:M4"/>
    <mergeCell ref="F5:M5"/>
    <mergeCell ref="G12:H12"/>
    <mergeCell ref="F6:M6"/>
    <mergeCell ref="F7:M7"/>
    <mergeCell ref="F8:M8"/>
    <mergeCell ref="B5:E8"/>
    <mergeCell ref="B10:M10"/>
    <mergeCell ref="G25:G26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I34:I36"/>
    <mergeCell ref="G29:G30"/>
    <mergeCell ref="H29:H30"/>
    <mergeCell ref="B31:B32"/>
    <mergeCell ref="C31:C32"/>
    <mergeCell ref="D31:D32"/>
    <mergeCell ref="E31:E32"/>
    <mergeCell ref="F31:F32"/>
    <mergeCell ref="G31:G32"/>
    <mergeCell ref="H31:H32"/>
    <mergeCell ref="B29:B30"/>
    <mergeCell ref="C29:C30"/>
    <mergeCell ref="D29:D30"/>
    <mergeCell ref="E29:E30"/>
    <mergeCell ref="F29:F30"/>
    <mergeCell ref="G34:G37"/>
  </mergeCells>
  <phoneticPr fontId="2"/>
  <dataValidations count="1">
    <dataValidation type="list" allowBlank="1" showInputMessage="1" showErrorMessage="1" sqref="J34:J36 J13 J15 J17 J19 J21 J23 J25 J27 J29 J31" xr:uid="{A63C8188-8B42-48F4-AC0D-FCE284B3967E}">
      <formula1>$Q$13:$Q$16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fitToWidth="0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50C8-DD31-4131-96FA-0F215BEF9518}">
  <dimension ref="B1:O48"/>
  <sheetViews>
    <sheetView view="pageBreakPreview" zoomScale="70" zoomScaleNormal="70" zoomScaleSheetLayoutView="70" workbookViewId="0">
      <selection activeCell="I48" sqref="I48"/>
    </sheetView>
  </sheetViews>
  <sheetFormatPr defaultRowHeight="17.5" x14ac:dyDescent="0.55000000000000004"/>
  <cols>
    <col min="1" max="1" width="3.08203125" style="2" customWidth="1"/>
    <col min="2" max="2" width="25.58203125" style="2" customWidth="1"/>
    <col min="3" max="3" width="5.58203125" style="2" customWidth="1"/>
    <col min="4" max="4" width="10.58203125" style="2" customWidth="1"/>
    <col min="5" max="5" width="20.58203125" style="2" customWidth="1"/>
    <col min="6" max="6" width="25.58203125" style="2" customWidth="1"/>
    <col min="7" max="7" width="15.58203125" style="2" customWidth="1"/>
    <col min="8" max="11" width="5.58203125" style="2" customWidth="1"/>
    <col min="12" max="13" width="3.08203125" style="2" customWidth="1"/>
    <col min="14" max="14" width="8.6640625" style="2"/>
    <col min="15" max="15" width="30.58203125" style="2" customWidth="1"/>
    <col min="16" max="17" width="8.6640625" style="2"/>
    <col min="18" max="18" width="20.4140625" style="2" bestFit="1" customWidth="1"/>
    <col min="19" max="19" width="24.9140625" style="2" bestFit="1" customWidth="1"/>
    <col min="20" max="20" width="22.83203125" style="2" bestFit="1" customWidth="1"/>
    <col min="21" max="16384" width="8.6640625" style="2"/>
  </cols>
  <sheetData>
    <row r="1" spans="2:15" s="1" customFormat="1" ht="21" customHeight="1" x14ac:dyDescent="0.55000000000000004">
      <c r="B1" s="68" t="s">
        <v>57</v>
      </c>
      <c r="C1" s="68"/>
      <c r="D1" s="68"/>
      <c r="E1" s="68"/>
      <c r="F1" s="68"/>
      <c r="G1" s="68"/>
      <c r="H1" s="68"/>
      <c r="I1" s="68"/>
      <c r="J1" s="68"/>
      <c r="K1" s="68"/>
    </row>
    <row r="3" spans="2:15" x14ac:dyDescent="0.55000000000000004">
      <c r="B3" s="78" t="s">
        <v>10</v>
      </c>
      <c r="C3" s="71" t="s">
        <v>169</v>
      </c>
      <c r="D3" s="71"/>
      <c r="E3" s="72"/>
      <c r="F3" s="72"/>
      <c r="G3" s="72"/>
      <c r="H3" s="72"/>
      <c r="I3" s="72"/>
      <c r="J3" s="72"/>
      <c r="K3" s="72"/>
    </row>
    <row r="4" spans="2:15" x14ac:dyDescent="0.55000000000000004">
      <c r="B4" s="79"/>
      <c r="C4" s="73" t="s">
        <v>174</v>
      </c>
      <c r="D4" s="74"/>
      <c r="E4" s="74"/>
      <c r="F4" s="74"/>
      <c r="G4" s="74"/>
      <c r="H4" s="74"/>
      <c r="I4" s="74"/>
      <c r="J4" s="74"/>
      <c r="K4" s="75"/>
    </row>
    <row r="5" spans="2:15" x14ac:dyDescent="0.55000000000000004">
      <c r="B5" s="78" t="s">
        <v>11</v>
      </c>
      <c r="C5" s="115" t="s">
        <v>8</v>
      </c>
      <c r="D5" s="76"/>
      <c r="E5" s="76"/>
      <c r="F5" s="76"/>
      <c r="G5" s="76"/>
      <c r="H5" s="76"/>
      <c r="I5" s="76"/>
      <c r="J5" s="76"/>
      <c r="K5" s="76"/>
    </row>
    <row r="6" spans="2:15" x14ac:dyDescent="0.55000000000000004">
      <c r="B6" s="80"/>
      <c r="C6" s="116" t="s">
        <v>9</v>
      </c>
      <c r="D6" s="81"/>
      <c r="E6" s="81"/>
      <c r="F6" s="81"/>
      <c r="G6" s="81"/>
      <c r="H6" s="81"/>
      <c r="I6" s="81"/>
      <c r="J6" s="81"/>
      <c r="K6" s="81"/>
    </row>
    <row r="7" spans="2:15" x14ac:dyDescent="0.55000000000000004">
      <c r="B7" s="80"/>
      <c r="C7" s="116" t="s">
        <v>89</v>
      </c>
      <c r="D7" s="81"/>
      <c r="E7" s="81"/>
      <c r="F7" s="81"/>
      <c r="G7" s="81"/>
      <c r="H7" s="81"/>
      <c r="I7" s="81"/>
      <c r="J7" s="81"/>
      <c r="K7" s="81"/>
    </row>
    <row r="8" spans="2:15" x14ac:dyDescent="0.55000000000000004">
      <c r="B8" s="79"/>
      <c r="C8" s="73" t="s">
        <v>90</v>
      </c>
      <c r="D8" s="74"/>
      <c r="E8" s="74"/>
      <c r="F8" s="74"/>
      <c r="G8" s="74"/>
      <c r="H8" s="74"/>
      <c r="I8" s="74"/>
      <c r="J8" s="74"/>
      <c r="K8" s="74"/>
    </row>
    <row r="10" spans="2:15" s="1" customFormat="1" ht="22.5" x14ac:dyDescent="0.55000000000000004">
      <c r="B10" s="70" t="s">
        <v>61</v>
      </c>
      <c r="C10" s="70"/>
      <c r="D10" s="70"/>
      <c r="E10" s="70"/>
      <c r="F10" s="70"/>
      <c r="G10" s="70"/>
      <c r="H10" s="70"/>
      <c r="I10" s="70"/>
      <c r="J10" s="70"/>
      <c r="K10" s="70"/>
    </row>
    <row r="11" spans="2:15" x14ac:dyDescent="0.55000000000000004">
      <c r="O11" s="12" t="s">
        <v>19</v>
      </c>
    </row>
    <row r="12" spans="2:15" x14ac:dyDescent="0.55000000000000004">
      <c r="B12" s="7" t="s">
        <v>21</v>
      </c>
      <c r="C12" s="112" t="s">
        <v>24</v>
      </c>
      <c r="D12" s="113"/>
      <c r="E12" s="7" t="s">
        <v>0</v>
      </c>
      <c r="F12" s="7" t="s">
        <v>1</v>
      </c>
      <c r="G12" s="7" t="s">
        <v>2</v>
      </c>
      <c r="H12" s="69" t="s">
        <v>3</v>
      </c>
      <c r="I12" s="69"/>
      <c r="J12" s="69" t="s">
        <v>4</v>
      </c>
      <c r="K12" s="69"/>
      <c r="O12" s="7" t="s">
        <v>1</v>
      </c>
    </row>
    <row r="13" spans="2:15" x14ac:dyDescent="0.55000000000000004">
      <c r="B13" s="85" t="s">
        <v>23</v>
      </c>
      <c r="C13" s="117" t="s">
        <v>69</v>
      </c>
      <c r="D13" s="85" t="s">
        <v>63</v>
      </c>
      <c r="E13" s="19" t="s">
        <v>51</v>
      </c>
      <c r="F13" s="19" t="s">
        <v>52</v>
      </c>
      <c r="G13" s="19" t="s">
        <v>129</v>
      </c>
      <c r="H13" s="128">
        <v>10</v>
      </c>
      <c r="I13" s="125" t="s">
        <v>134</v>
      </c>
      <c r="J13" s="34">
        <f>H13*16</f>
        <v>160</v>
      </c>
      <c r="K13" s="29" t="s">
        <v>5</v>
      </c>
      <c r="O13" s="66" t="s">
        <v>44</v>
      </c>
    </row>
    <row r="14" spans="2:15" x14ac:dyDescent="0.55000000000000004">
      <c r="B14" s="85"/>
      <c r="C14" s="85"/>
      <c r="D14" s="85"/>
      <c r="E14" s="24" t="s">
        <v>49</v>
      </c>
      <c r="F14" s="25" t="s">
        <v>128</v>
      </c>
      <c r="G14" s="24" t="s">
        <v>130</v>
      </c>
      <c r="H14" s="130"/>
      <c r="I14" s="127"/>
      <c r="J14" s="35">
        <f>H13*0.03*16</f>
        <v>4.8</v>
      </c>
      <c r="K14" s="30" t="s">
        <v>7</v>
      </c>
      <c r="O14" s="66" t="s">
        <v>250</v>
      </c>
    </row>
    <row r="15" spans="2:15" ht="18" customHeight="1" x14ac:dyDescent="0.55000000000000004">
      <c r="B15" s="85"/>
      <c r="C15" s="85"/>
      <c r="D15" s="85" t="s">
        <v>64</v>
      </c>
      <c r="E15" s="19" t="s">
        <v>51</v>
      </c>
      <c r="F15" s="19" t="s">
        <v>52</v>
      </c>
      <c r="G15" s="19" t="s">
        <v>131</v>
      </c>
      <c r="H15" s="128">
        <v>10</v>
      </c>
      <c r="I15" s="125" t="s">
        <v>134</v>
      </c>
      <c r="J15" s="34">
        <f>H15*25</f>
        <v>250</v>
      </c>
      <c r="K15" s="29" t="s">
        <v>5</v>
      </c>
      <c r="O15" s="3" t="s">
        <v>12</v>
      </c>
    </row>
    <row r="16" spans="2:15" x14ac:dyDescent="0.55000000000000004">
      <c r="B16" s="85"/>
      <c r="C16" s="85"/>
      <c r="D16" s="85"/>
      <c r="E16" s="24" t="s">
        <v>49</v>
      </c>
      <c r="F16" s="25" t="s">
        <v>128</v>
      </c>
      <c r="G16" s="24" t="s">
        <v>132</v>
      </c>
      <c r="H16" s="130"/>
      <c r="I16" s="127"/>
      <c r="J16" s="35">
        <f>H15*0.03*25</f>
        <v>7.5</v>
      </c>
      <c r="K16" s="30" t="s">
        <v>7</v>
      </c>
      <c r="O16" s="3" t="s">
        <v>13</v>
      </c>
    </row>
    <row r="17" spans="2:15" ht="18" customHeight="1" x14ac:dyDescent="0.55000000000000004">
      <c r="B17" s="85"/>
      <c r="C17" s="85"/>
      <c r="D17" s="85" t="s">
        <v>65</v>
      </c>
      <c r="E17" s="19" t="s">
        <v>51</v>
      </c>
      <c r="F17" s="19" t="s">
        <v>52</v>
      </c>
      <c r="G17" s="19" t="s">
        <v>133</v>
      </c>
      <c r="H17" s="128">
        <v>10</v>
      </c>
      <c r="I17" s="125" t="s">
        <v>135</v>
      </c>
      <c r="J17" s="34">
        <f>H17*5</f>
        <v>50</v>
      </c>
      <c r="K17" s="29" t="s">
        <v>5</v>
      </c>
      <c r="O17" s="3" t="s">
        <v>14</v>
      </c>
    </row>
    <row r="18" spans="2:15" x14ac:dyDescent="0.55000000000000004">
      <c r="B18" s="85"/>
      <c r="C18" s="85"/>
      <c r="D18" s="85"/>
      <c r="E18" s="24" t="s">
        <v>49</v>
      </c>
      <c r="F18" s="25" t="s">
        <v>128</v>
      </c>
      <c r="G18" s="24" t="s">
        <v>137</v>
      </c>
      <c r="H18" s="130"/>
      <c r="I18" s="127"/>
      <c r="J18" s="35">
        <f>H17*0.03*5</f>
        <v>1.5</v>
      </c>
      <c r="K18" s="30" t="s">
        <v>7</v>
      </c>
      <c r="O18" s="3" t="s">
        <v>15</v>
      </c>
    </row>
    <row r="19" spans="2:15" ht="18" customHeight="1" x14ac:dyDescent="0.55000000000000004">
      <c r="B19" s="85"/>
      <c r="C19" s="117" t="s">
        <v>70</v>
      </c>
      <c r="D19" s="85" t="s">
        <v>63</v>
      </c>
      <c r="E19" s="19" t="s">
        <v>51</v>
      </c>
      <c r="F19" s="19" t="s">
        <v>52</v>
      </c>
      <c r="G19" s="19" t="s">
        <v>136</v>
      </c>
      <c r="H19" s="128">
        <v>10</v>
      </c>
      <c r="I19" s="125" t="s">
        <v>134</v>
      </c>
      <c r="J19" s="34">
        <f>H19*13</f>
        <v>130</v>
      </c>
      <c r="K19" s="29" t="s">
        <v>5</v>
      </c>
      <c r="O19" s="3" t="s">
        <v>141</v>
      </c>
    </row>
    <row r="20" spans="2:15" x14ac:dyDescent="0.55000000000000004">
      <c r="B20" s="85"/>
      <c r="C20" s="85"/>
      <c r="D20" s="85"/>
      <c r="E20" s="23" t="s">
        <v>49</v>
      </c>
      <c r="F20" s="42" t="s">
        <v>128</v>
      </c>
      <c r="G20" s="23" t="s">
        <v>247</v>
      </c>
      <c r="H20" s="129"/>
      <c r="I20" s="126"/>
      <c r="J20" s="36">
        <f>H19*0.03*13</f>
        <v>3.9</v>
      </c>
      <c r="K20" s="31" t="s">
        <v>7</v>
      </c>
      <c r="O20" s="3" t="s">
        <v>142</v>
      </c>
    </row>
    <row r="21" spans="2:15" ht="17.5" customHeight="1" x14ac:dyDescent="0.55000000000000004">
      <c r="B21" s="85"/>
      <c r="C21" s="85"/>
      <c r="D21" s="85"/>
      <c r="E21" s="24" t="s">
        <v>53</v>
      </c>
      <c r="F21" s="25" t="s">
        <v>45</v>
      </c>
      <c r="G21" s="24" t="s">
        <v>249</v>
      </c>
      <c r="H21" s="130"/>
      <c r="I21" s="127"/>
      <c r="J21" s="36">
        <f>H19*0.03*12</f>
        <v>3.5999999999999996</v>
      </c>
      <c r="K21" s="31" t="s">
        <v>7</v>
      </c>
      <c r="O21" s="3" t="s">
        <v>16</v>
      </c>
    </row>
    <row r="22" spans="2:15" ht="17.5" customHeight="1" x14ac:dyDescent="0.55000000000000004">
      <c r="B22" s="85"/>
      <c r="C22" s="85"/>
      <c r="D22" s="85" t="s">
        <v>64</v>
      </c>
      <c r="E22" s="19" t="s">
        <v>51</v>
      </c>
      <c r="F22" s="19" t="s">
        <v>52</v>
      </c>
      <c r="G22" s="19" t="s">
        <v>245</v>
      </c>
      <c r="H22" s="128">
        <v>10</v>
      </c>
      <c r="I22" s="125" t="s">
        <v>134</v>
      </c>
      <c r="J22" s="34">
        <f>H22*20</f>
        <v>200</v>
      </c>
      <c r="K22" s="29" t="s">
        <v>5</v>
      </c>
      <c r="O22" s="3" t="s">
        <v>17</v>
      </c>
    </row>
    <row r="23" spans="2:15" ht="17.5" customHeight="1" x14ac:dyDescent="0.55000000000000004">
      <c r="B23" s="85"/>
      <c r="C23" s="85"/>
      <c r="D23" s="85"/>
      <c r="E23" s="23" t="s">
        <v>49</v>
      </c>
      <c r="F23" s="42" t="s">
        <v>128</v>
      </c>
      <c r="G23" s="23" t="s">
        <v>246</v>
      </c>
      <c r="H23" s="129"/>
      <c r="I23" s="126"/>
      <c r="J23" s="36">
        <f>H22*0.03*20</f>
        <v>6</v>
      </c>
      <c r="K23" s="31" t="s">
        <v>7</v>
      </c>
      <c r="O23" s="3" t="s">
        <v>18</v>
      </c>
    </row>
    <row r="24" spans="2:15" ht="17.5" customHeight="1" x14ac:dyDescent="0.55000000000000004">
      <c r="B24" s="85"/>
      <c r="C24" s="85"/>
      <c r="D24" s="85"/>
      <c r="E24" s="24" t="s">
        <v>53</v>
      </c>
      <c r="F24" s="25" t="s">
        <v>45</v>
      </c>
      <c r="G24" s="24" t="s">
        <v>246</v>
      </c>
      <c r="H24" s="130"/>
      <c r="I24" s="127"/>
      <c r="J24" s="36">
        <f>H22*0.03*20</f>
        <v>6</v>
      </c>
      <c r="K24" s="31" t="s">
        <v>7</v>
      </c>
      <c r="O24" s="3" t="s">
        <v>145</v>
      </c>
    </row>
    <row r="25" spans="2:15" ht="17.5" customHeight="1" x14ac:dyDescent="0.55000000000000004">
      <c r="B25" s="85"/>
      <c r="C25" s="85"/>
      <c r="D25" s="85" t="s">
        <v>65</v>
      </c>
      <c r="E25" s="19" t="s">
        <v>51</v>
      </c>
      <c r="F25" s="19" t="s">
        <v>52</v>
      </c>
      <c r="G25" s="19" t="s">
        <v>133</v>
      </c>
      <c r="H25" s="128">
        <v>10</v>
      </c>
      <c r="I25" s="125" t="s">
        <v>135</v>
      </c>
      <c r="J25" s="34">
        <f>H25*5</f>
        <v>50</v>
      </c>
      <c r="K25" s="29" t="s">
        <v>5</v>
      </c>
      <c r="O25" s="3" t="s">
        <v>146</v>
      </c>
    </row>
    <row r="26" spans="2:15" ht="17.5" customHeight="1" x14ac:dyDescent="0.55000000000000004">
      <c r="B26" s="85"/>
      <c r="C26" s="85"/>
      <c r="D26" s="85"/>
      <c r="E26" s="23" t="s">
        <v>49</v>
      </c>
      <c r="F26" s="42" t="s">
        <v>128</v>
      </c>
      <c r="G26" s="23" t="s">
        <v>137</v>
      </c>
      <c r="H26" s="129"/>
      <c r="I26" s="126"/>
      <c r="J26" s="36">
        <f>H25*0.03*5</f>
        <v>1.5</v>
      </c>
      <c r="K26" s="31" t="s">
        <v>7</v>
      </c>
      <c r="O26" s="3" t="s">
        <v>183</v>
      </c>
    </row>
    <row r="27" spans="2:15" x14ac:dyDescent="0.55000000000000004">
      <c r="B27" s="85"/>
      <c r="C27" s="85"/>
      <c r="D27" s="85"/>
      <c r="E27" s="24" t="s">
        <v>53</v>
      </c>
      <c r="F27" s="25" t="s">
        <v>45</v>
      </c>
      <c r="G27" s="24" t="s">
        <v>137</v>
      </c>
      <c r="H27" s="130"/>
      <c r="I27" s="127"/>
      <c r="J27" s="36">
        <f>H25*0.03*5</f>
        <v>1.5</v>
      </c>
      <c r="K27" s="31" t="s">
        <v>7</v>
      </c>
      <c r="O27" s="3" t="s">
        <v>184</v>
      </c>
    </row>
    <row r="28" spans="2:15" x14ac:dyDescent="0.55000000000000004">
      <c r="B28" s="85" t="s">
        <v>54</v>
      </c>
      <c r="C28" s="117" t="s">
        <v>69</v>
      </c>
      <c r="D28" s="85" t="s">
        <v>63</v>
      </c>
      <c r="E28" s="19" t="s">
        <v>51</v>
      </c>
      <c r="F28" s="26" t="s">
        <v>140</v>
      </c>
      <c r="G28" s="19" t="s">
        <v>138</v>
      </c>
      <c r="H28" s="128">
        <v>10</v>
      </c>
      <c r="I28" s="125" t="s">
        <v>134</v>
      </c>
      <c r="J28" s="34">
        <f>H28*9</f>
        <v>90</v>
      </c>
      <c r="K28" s="29" t="s">
        <v>5</v>
      </c>
      <c r="O28" s="3" t="s">
        <v>147</v>
      </c>
    </row>
    <row r="29" spans="2:15" x14ac:dyDescent="0.55000000000000004">
      <c r="B29" s="85"/>
      <c r="C29" s="85"/>
      <c r="D29" s="85"/>
      <c r="E29" s="24" t="s">
        <v>49</v>
      </c>
      <c r="F29" s="25" t="s">
        <v>128</v>
      </c>
      <c r="G29" s="24" t="s">
        <v>139</v>
      </c>
      <c r="H29" s="130"/>
      <c r="I29" s="127"/>
      <c r="J29" s="35">
        <f>H28*0.03*9</f>
        <v>2.6999999999999997</v>
      </c>
      <c r="K29" s="30" t="s">
        <v>7</v>
      </c>
      <c r="O29" s="3" t="s">
        <v>148</v>
      </c>
    </row>
    <row r="30" spans="2:15" ht="18" customHeight="1" x14ac:dyDescent="0.55000000000000004">
      <c r="B30" s="85"/>
      <c r="C30" s="85"/>
      <c r="D30" s="85" t="s">
        <v>64</v>
      </c>
      <c r="E30" s="19" t="s">
        <v>51</v>
      </c>
      <c r="F30" s="26" t="s">
        <v>140</v>
      </c>
      <c r="G30" s="19" t="s">
        <v>129</v>
      </c>
      <c r="H30" s="128">
        <v>10</v>
      </c>
      <c r="I30" s="125" t="s">
        <v>134</v>
      </c>
      <c r="J30" s="34">
        <f>H30*16</f>
        <v>160</v>
      </c>
      <c r="K30" s="29" t="s">
        <v>5</v>
      </c>
      <c r="O30" s="3" t="s">
        <v>68</v>
      </c>
    </row>
    <row r="31" spans="2:15" x14ac:dyDescent="0.55000000000000004">
      <c r="B31" s="85"/>
      <c r="C31" s="85"/>
      <c r="D31" s="85"/>
      <c r="E31" s="24" t="s">
        <v>49</v>
      </c>
      <c r="F31" s="25" t="s">
        <v>128</v>
      </c>
      <c r="G31" s="24" t="s">
        <v>130</v>
      </c>
      <c r="H31" s="130"/>
      <c r="I31" s="127"/>
      <c r="J31" s="35">
        <f>H30*0.03*16</f>
        <v>4.8</v>
      </c>
      <c r="K31" s="30" t="s">
        <v>7</v>
      </c>
    </row>
    <row r="32" spans="2:15" ht="18" customHeight="1" x14ac:dyDescent="0.55000000000000004">
      <c r="B32" s="85"/>
      <c r="C32" s="85"/>
      <c r="D32" s="85" t="s">
        <v>65</v>
      </c>
      <c r="E32" s="19" t="s">
        <v>51</v>
      </c>
      <c r="F32" s="26" t="s">
        <v>140</v>
      </c>
      <c r="G32" s="19" t="s">
        <v>133</v>
      </c>
      <c r="H32" s="128">
        <v>10</v>
      </c>
      <c r="I32" s="125" t="s">
        <v>135</v>
      </c>
      <c r="J32" s="34">
        <f>H32*5</f>
        <v>50</v>
      </c>
      <c r="K32" s="29" t="s">
        <v>5</v>
      </c>
    </row>
    <row r="33" spans="2:11" x14ac:dyDescent="0.55000000000000004">
      <c r="B33" s="85"/>
      <c r="C33" s="85"/>
      <c r="D33" s="85"/>
      <c r="E33" s="24" t="s">
        <v>49</v>
      </c>
      <c r="F33" s="25" t="s">
        <v>128</v>
      </c>
      <c r="G33" s="24" t="s">
        <v>137</v>
      </c>
      <c r="H33" s="130"/>
      <c r="I33" s="127"/>
      <c r="J33" s="35">
        <f>H32*0.03*5</f>
        <v>1.5</v>
      </c>
      <c r="K33" s="30" t="s">
        <v>7</v>
      </c>
    </row>
    <row r="34" spans="2:11" ht="18" customHeight="1" x14ac:dyDescent="0.55000000000000004">
      <c r="B34" s="85"/>
      <c r="C34" s="117" t="s">
        <v>70</v>
      </c>
      <c r="D34" s="85" t="s">
        <v>63</v>
      </c>
      <c r="E34" s="19" t="s">
        <v>51</v>
      </c>
      <c r="F34" s="26" t="s">
        <v>140</v>
      </c>
      <c r="G34" s="19" t="s">
        <v>138</v>
      </c>
      <c r="H34" s="128">
        <v>10</v>
      </c>
      <c r="I34" s="125" t="s">
        <v>134</v>
      </c>
      <c r="J34" s="34">
        <f>H34*9</f>
        <v>90</v>
      </c>
      <c r="K34" s="29" t="s">
        <v>5</v>
      </c>
    </row>
    <row r="35" spans="2:11" x14ac:dyDescent="0.55000000000000004">
      <c r="B35" s="85"/>
      <c r="C35" s="85"/>
      <c r="D35" s="85"/>
      <c r="E35" s="23" t="s">
        <v>49</v>
      </c>
      <c r="F35" s="42" t="s">
        <v>128</v>
      </c>
      <c r="G35" s="23" t="s">
        <v>139</v>
      </c>
      <c r="H35" s="129"/>
      <c r="I35" s="126"/>
      <c r="J35" s="36">
        <f>H34*0.03*9</f>
        <v>2.6999999999999997</v>
      </c>
      <c r="K35" s="31" t="s">
        <v>7</v>
      </c>
    </row>
    <row r="36" spans="2:11" ht="17.5" customHeight="1" x14ac:dyDescent="0.55000000000000004">
      <c r="B36" s="85"/>
      <c r="C36" s="85"/>
      <c r="D36" s="85"/>
      <c r="E36" s="24" t="s">
        <v>53</v>
      </c>
      <c r="F36" s="25" t="s">
        <v>45</v>
      </c>
      <c r="G36" s="24" t="s">
        <v>139</v>
      </c>
      <c r="H36" s="130"/>
      <c r="I36" s="127"/>
      <c r="J36" s="36">
        <f>H34*0.03*9</f>
        <v>2.6999999999999997</v>
      </c>
      <c r="K36" s="31" t="s">
        <v>7</v>
      </c>
    </row>
    <row r="37" spans="2:11" ht="17.5" customHeight="1" x14ac:dyDescent="0.55000000000000004">
      <c r="B37" s="85"/>
      <c r="C37" s="85"/>
      <c r="D37" s="85" t="s">
        <v>64</v>
      </c>
      <c r="E37" s="19" t="s">
        <v>51</v>
      </c>
      <c r="F37" s="26" t="s">
        <v>140</v>
      </c>
      <c r="G37" s="19" t="s">
        <v>129</v>
      </c>
      <c r="H37" s="128">
        <v>10</v>
      </c>
      <c r="I37" s="125" t="s">
        <v>134</v>
      </c>
      <c r="J37" s="34">
        <f>H37*16</f>
        <v>160</v>
      </c>
      <c r="K37" s="29" t="s">
        <v>5</v>
      </c>
    </row>
    <row r="38" spans="2:11" ht="17.5" customHeight="1" x14ac:dyDescent="0.55000000000000004">
      <c r="B38" s="85"/>
      <c r="C38" s="85"/>
      <c r="D38" s="85"/>
      <c r="E38" s="23" t="s">
        <v>49</v>
      </c>
      <c r="F38" s="42" t="s">
        <v>128</v>
      </c>
      <c r="G38" s="23" t="s">
        <v>130</v>
      </c>
      <c r="H38" s="129"/>
      <c r="I38" s="126"/>
      <c r="J38" s="36">
        <f>H37*0.03*16</f>
        <v>4.8</v>
      </c>
      <c r="K38" s="31" t="s">
        <v>7</v>
      </c>
    </row>
    <row r="39" spans="2:11" ht="17.5" customHeight="1" x14ac:dyDescent="0.55000000000000004">
      <c r="B39" s="85"/>
      <c r="C39" s="85"/>
      <c r="D39" s="85"/>
      <c r="E39" s="24" t="s">
        <v>53</v>
      </c>
      <c r="F39" s="25" t="s">
        <v>45</v>
      </c>
      <c r="G39" s="24" t="s">
        <v>130</v>
      </c>
      <c r="H39" s="130"/>
      <c r="I39" s="127"/>
      <c r="J39" s="36">
        <f>H37*0.03*16</f>
        <v>4.8</v>
      </c>
      <c r="K39" s="31" t="s">
        <v>7</v>
      </c>
    </row>
    <row r="40" spans="2:11" ht="17.5" customHeight="1" x14ac:dyDescent="0.55000000000000004">
      <c r="B40" s="85"/>
      <c r="C40" s="85"/>
      <c r="D40" s="85" t="s">
        <v>65</v>
      </c>
      <c r="E40" s="19" t="s">
        <v>51</v>
      </c>
      <c r="F40" s="26" t="s">
        <v>140</v>
      </c>
      <c r="G40" s="19" t="s">
        <v>133</v>
      </c>
      <c r="H40" s="128">
        <v>10</v>
      </c>
      <c r="I40" s="125" t="s">
        <v>135</v>
      </c>
      <c r="J40" s="34">
        <f>H40*5</f>
        <v>50</v>
      </c>
      <c r="K40" s="29" t="s">
        <v>5</v>
      </c>
    </row>
    <row r="41" spans="2:11" ht="17.5" customHeight="1" x14ac:dyDescent="0.55000000000000004">
      <c r="B41" s="85"/>
      <c r="C41" s="85"/>
      <c r="D41" s="85"/>
      <c r="E41" s="23" t="s">
        <v>49</v>
      </c>
      <c r="F41" s="42" t="s">
        <v>13</v>
      </c>
      <c r="G41" s="23" t="s">
        <v>137</v>
      </c>
      <c r="H41" s="129"/>
      <c r="I41" s="126"/>
      <c r="J41" s="36">
        <f>H40*0.03*5</f>
        <v>1.5</v>
      </c>
      <c r="K41" s="31" t="s">
        <v>7</v>
      </c>
    </row>
    <row r="42" spans="2:11" x14ac:dyDescent="0.55000000000000004">
      <c r="B42" s="85"/>
      <c r="C42" s="85"/>
      <c r="D42" s="85"/>
      <c r="E42" s="24" t="s">
        <v>53</v>
      </c>
      <c r="F42" s="25" t="s">
        <v>45</v>
      </c>
      <c r="G42" s="24" t="s">
        <v>137</v>
      </c>
      <c r="H42" s="130"/>
      <c r="I42" s="127"/>
      <c r="J42" s="36">
        <f>H40*0.03*5</f>
        <v>1.5</v>
      </c>
      <c r="K42" s="31" t="s">
        <v>7</v>
      </c>
    </row>
    <row r="43" spans="2:11" x14ac:dyDescent="0.55000000000000004">
      <c r="B43" s="118" t="s">
        <v>55</v>
      </c>
      <c r="C43" s="121"/>
      <c r="D43" s="122"/>
      <c r="E43" s="19" t="s">
        <v>51</v>
      </c>
      <c r="F43" s="26" t="s">
        <v>143</v>
      </c>
      <c r="G43" s="19" t="s">
        <v>254</v>
      </c>
      <c r="H43" s="128">
        <v>10</v>
      </c>
      <c r="I43" s="125" t="s">
        <v>256</v>
      </c>
      <c r="J43" s="34">
        <f>H43</f>
        <v>10</v>
      </c>
      <c r="K43" s="29" t="s">
        <v>5</v>
      </c>
    </row>
    <row r="44" spans="2:11" x14ac:dyDescent="0.55000000000000004">
      <c r="B44" s="119"/>
      <c r="C44" s="132"/>
      <c r="D44" s="133"/>
      <c r="E44" s="23" t="s">
        <v>66</v>
      </c>
      <c r="F44" s="42" t="s">
        <v>17</v>
      </c>
      <c r="G44" s="23" t="s">
        <v>255</v>
      </c>
      <c r="H44" s="129"/>
      <c r="I44" s="126"/>
      <c r="J44" s="36">
        <f>H43</f>
        <v>10</v>
      </c>
      <c r="K44" s="31" t="s">
        <v>6</v>
      </c>
    </row>
    <row r="45" spans="2:11" x14ac:dyDescent="0.55000000000000004">
      <c r="B45" s="120"/>
      <c r="C45" s="123"/>
      <c r="D45" s="124"/>
      <c r="E45" s="24" t="s">
        <v>49</v>
      </c>
      <c r="F45" s="25" t="s">
        <v>128</v>
      </c>
      <c r="G45" s="24" t="s">
        <v>4</v>
      </c>
      <c r="H45" s="130"/>
      <c r="I45" s="127"/>
      <c r="J45" s="134" t="s">
        <v>4</v>
      </c>
      <c r="K45" s="135"/>
    </row>
    <row r="46" spans="2:11" x14ac:dyDescent="0.55000000000000004">
      <c r="B46" s="85" t="s">
        <v>56</v>
      </c>
      <c r="C46" s="121"/>
      <c r="D46" s="122"/>
      <c r="E46" s="19" t="s">
        <v>51</v>
      </c>
      <c r="F46" s="26" t="s">
        <v>144</v>
      </c>
      <c r="G46" s="19" t="s">
        <v>254</v>
      </c>
      <c r="H46" s="128">
        <v>10</v>
      </c>
      <c r="I46" s="125" t="s">
        <v>256</v>
      </c>
      <c r="J46" s="34">
        <f>H46</f>
        <v>10</v>
      </c>
      <c r="K46" s="29" t="s">
        <v>5</v>
      </c>
    </row>
    <row r="47" spans="2:11" x14ac:dyDescent="0.55000000000000004">
      <c r="B47" s="85"/>
      <c r="C47" s="123"/>
      <c r="D47" s="124"/>
      <c r="E47" s="24" t="s">
        <v>67</v>
      </c>
      <c r="F47" s="25" t="str">
        <f>IF(F46="MGアンカーピン450","ユニエポカプセル450","ユニエポカプセル470")</f>
        <v>ユニエポカプセル450</v>
      </c>
      <c r="G47" s="24" t="s">
        <v>254</v>
      </c>
      <c r="H47" s="130"/>
      <c r="I47" s="127"/>
      <c r="J47" s="35">
        <f>H46</f>
        <v>10</v>
      </c>
      <c r="K47" s="30" t="s">
        <v>6</v>
      </c>
    </row>
    <row r="48" spans="2:11" ht="18" customHeight="1" x14ac:dyDescent="0.55000000000000004">
      <c r="B48" s="10" t="s">
        <v>62</v>
      </c>
      <c r="C48" s="131"/>
      <c r="D48" s="131"/>
      <c r="E48" s="10" t="s">
        <v>150</v>
      </c>
      <c r="F48" s="5" t="s">
        <v>248</v>
      </c>
      <c r="G48" s="10" t="s">
        <v>149</v>
      </c>
      <c r="H48" s="27">
        <v>10</v>
      </c>
      <c r="I48" s="32" t="s">
        <v>134</v>
      </c>
      <c r="J48" s="33">
        <f>H48*1.75</f>
        <v>17.5</v>
      </c>
      <c r="K48" s="28" t="s">
        <v>7</v>
      </c>
    </row>
  </sheetData>
  <mergeCells count="65">
    <mergeCell ref="H43:H45"/>
    <mergeCell ref="I43:I45"/>
    <mergeCell ref="I46:I47"/>
    <mergeCell ref="H46:H47"/>
    <mergeCell ref="J45:K45"/>
    <mergeCell ref="I37:I39"/>
    <mergeCell ref="H37:H39"/>
    <mergeCell ref="I34:I36"/>
    <mergeCell ref="H34:H36"/>
    <mergeCell ref="I32:I33"/>
    <mergeCell ref="H32:H33"/>
    <mergeCell ref="H13:H14"/>
    <mergeCell ref="I13:I14"/>
    <mergeCell ref="H15:H16"/>
    <mergeCell ref="H17:H18"/>
    <mergeCell ref="I22:I24"/>
    <mergeCell ref="H22:H24"/>
    <mergeCell ref="I19:I21"/>
    <mergeCell ref="H19:H21"/>
    <mergeCell ref="I17:I18"/>
    <mergeCell ref="I15:I16"/>
    <mergeCell ref="I25:I27"/>
    <mergeCell ref="H25:H27"/>
    <mergeCell ref="C48:D48"/>
    <mergeCell ref="D30:D31"/>
    <mergeCell ref="D32:D33"/>
    <mergeCell ref="C34:C42"/>
    <mergeCell ref="D34:D36"/>
    <mergeCell ref="D37:D39"/>
    <mergeCell ref="D40:D42"/>
    <mergeCell ref="C43:D45"/>
    <mergeCell ref="H28:H29"/>
    <mergeCell ref="I40:I42"/>
    <mergeCell ref="H40:H42"/>
    <mergeCell ref="I30:I31"/>
    <mergeCell ref="H30:H31"/>
    <mergeCell ref="I28:I29"/>
    <mergeCell ref="B13:B27"/>
    <mergeCell ref="B46:B47"/>
    <mergeCell ref="D17:D18"/>
    <mergeCell ref="B28:B42"/>
    <mergeCell ref="C28:C33"/>
    <mergeCell ref="D28:D29"/>
    <mergeCell ref="B43:B45"/>
    <mergeCell ref="C46:D47"/>
    <mergeCell ref="C13:C18"/>
    <mergeCell ref="C19:C27"/>
    <mergeCell ref="D13:D14"/>
    <mergeCell ref="D15:D16"/>
    <mergeCell ref="D19:D21"/>
    <mergeCell ref="D22:D24"/>
    <mergeCell ref="D25:D27"/>
    <mergeCell ref="H12:I12"/>
    <mergeCell ref="J12:K12"/>
    <mergeCell ref="C12:D12"/>
    <mergeCell ref="B1:K1"/>
    <mergeCell ref="B3:B4"/>
    <mergeCell ref="C3:K3"/>
    <mergeCell ref="C4:K4"/>
    <mergeCell ref="B5:B8"/>
    <mergeCell ref="C5:K5"/>
    <mergeCell ref="C6:K6"/>
    <mergeCell ref="C7:K7"/>
    <mergeCell ref="C8:K8"/>
    <mergeCell ref="B10:K10"/>
  </mergeCells>
  <phoneticPr fontId="2"/>
  <dataValidations count="7">
    <dataValidation type="list" allowBlank="1" showInputMessage="1" showErrorMessage="1" sqref="F14 F45 F41 F38 F35 F33 F31 F29 F26 F23 F20 F18 F16" xr:uid="{DF728EC1-064F-4E55-967B-D6250F9F5E99}">
      <formula1>$O$15:$O$16</formula1>
    </dataValidation>
    <dataValidation type="list" allowBlank="1" showInputMessage="1" showErrorMessage="1" sqref="F28 F43 F40 F37 F34 F32 F30" xr:uid="{FA187100-962A-456A-BCDC-7274EEE061BB}">
      <formula1>$O$17:$O$21</formula1>
    </dataValidation>
    <dataValidation type="list" allowBlank="1" showInputMessage="1" showErrorMessage="1" sqref="F44" xr:uid="{5FAC7B51-CEFF-4DB2-BF21-3FC28B7A48EB}">
      <formula1>$O$22:$O$23</formula1>
    </dataValidation>
    <dataValidation type="list" allowBlank="1" showInputMessage="1" showErrorMessage="1" sqref="F46" xr:uid="{56194AF7-833F-43F0-8DD9-88EB1D1FCFBD}">
      <formula1>$O$24:$O$25</formula1>
    </dataValidation>
    <dataValidation type="list" allowBlank="1" showInputMessage="1" showErrorMessage="1" sqref="F48" xr:uid="{BAEB5F00-1321-456B-B3A3-71911A18A608}">
      <formula1>$O$28:$O$30</formula1>
    </dataValidation>
    <dataValidation type="list" allowBlank="1" showInputMessage="1" showErrorMessage="1" sqref="F47" xr:uid="{C8A91703-2ED3-4DA8-B49E-628E97306890}">
      <formula1>$O$26:$O$27</formula1>
    </dataValidation>
    <dataValidation type="list" allowBlank="1" showInputMessage="1" showErrorMessage="1" sqref="F21 F24 F27 F36 F39 F42" xr:uid="{60EF5A52-7E56-4542-B211-C93EB6EEA9AB}">
      <formula1>$O$13:$O$15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BBEF-8B9B-4B30-AF88-CDB2C45B73E9}">
  <dimension ref="B1:Q39"/>
  <sheetViews>
    <sheetView view="pageBreakPreview" zoomScale="70" zoomScaleNormal="70" zoomScaleSheetLayoutView="70" workbookViewId="0">
      <selection activeCell="J33" sqref="J33"/>
    </sheetView>
  </sheetViews>
  <sheetFormatPr defaultRowHeight="17.5" x14ac:dyDescent="0.55000000000000004"/>
  <cols>
    <col min="1" max="1" width="3.08203125" style="2" customWidth="1"/>
    <col min="2" max="5" width="5.58203125" style="2" customWidth="1"/>
    <col min="6" max="6" width="20.58203125" style="2" customWidth="1"/>
    <col min="7" max="7" width="35.58203125" style="2" customWidth="1"/>
    <col min="8" max="9" width="15.58203125" style="2" customWidth="1"/>
    <col min="10" max="10" width="10.58203125" style="2" customWidth="1"/>
    <col min="11" max="11" width="5.58203125" style="2" customWidth="1"/>
    <col min="12" max="13" width="3.08203125" style="2" customWidth="1"/>
    <col min="14" max="14" width="8.6640625" style="2"/>
    <col min="15" max="15" width="30.58203125" style="2" customWidth="1"/>
    <col min="16" max="17" width="15.58203125" style="2" customWidth="1"/>
    <col min="18" max="19" width="8.6640625" style="2"/>
    <col min="20" max="20" width="20.4140625" style="2" bestFit="1" customWidth="1"/>
    <col min="21" max="21" width="24.9140625" style="2" bestFit="1" customWidth="1"/>
    <col min="22" max="22" width="22.83203125" style="2" bestFit="1" customWidth="1"/>
    <col min="23" max="16384" width="8.6640625" style="2"/>
  </cols>
  <sheetData>
    <row r="1" spans="2:17" s="1" customFormat="1" ht="21" customHeight="1" x14ac:dyDescent="0.55000000000000004">
      <c r="B1" s="68" t="s">
        <v>57</v>
      </c>
      <c r="C1" s="68"/>
      <c r="D1" s="68"/>
      <c r="E1" s="68"/>
      <c r="F1" s="68"/>
      <c r="G1" s="68"/>
      <c r="H1" s="68"/>
      <c r="I1" s="68"/>
      <c r="J1" s="68"/>
      <c r="K1" s="68"/>
    </row>
    <row r="3" spans="2:17" ht="17.5" customHeight="1" x14ac:dyDescent="0.55000000000000004">
      <c r="B3" s="69" t="s">
        <v>10</v>
      </c>
      <c r="C3" s="69"/>
      <c r="D3" s="69"/>
      <c r="E3" s="69"/>
      <c r="F3" s="109" t="s">
        <v>171</v>
      </c>
      <c r="G3" s="110"/>
      <c r="H3" s="110"/>
      <c r="I3" s="110"/>
      <c r="J3" s="110"/>
      <c r="K3" s="111"/>
    </row>
    <row r="4" spans="2:17" x14ac:dyDescent="0.55000000000000004">
      <c r="B4" s="69"/>
      <c r="C4" s="69"/>
      <c r="D4" s="69"/>
      <c r="E4" s="69"/>
      <c r="F4" s="73" t="s">
        <v>176</v>
      </c>
      <c r="G4" s="74"/>
      <c r="H4" s="74"/>
      <c r="I4" s="74"/>
      <c r="J4" s="74"/>
      <c r="K4" s="75"/>
    </row>
    <row r="5" spans="2:17" x14ac:dyDescent="0.55000000000000004">
      <c r="B5" s="69" t="s">
        <v>11</v>
      </c>
      <c r="C5" s="69"/>
      <c r="D5" s="69"/>
      <c r="E5" s="69"/>
      <c r="F5" s="76" t="s">
        <v>8</v>
      </c>
      <c r="G5" s="76"/>
      <c r="H5" s="76"/>
      <c r="I5" s="76"/>
      <c r="J5" s="76"/>
      <c r="K5" s="77"/>
    </row>
    <row r="6" spans="2:17" x14ac:dyDescent="0.55000000000000004">
      <c r="B6" s="69"/>
      <c r="C6" s="69"/>
      <c r="D6" s="69"/>
      <c r="E6" s="69"/>
      <c r="F6" s="81" t="s">
        <v>9</v>
      </c>
      <c r="G6" s="81"/>
      <c r="H6" s="81"/>
      <c r="I6" s="81"/>
      <c r="J6" s="81"/>
      <c r="K6" s="82"/>
    </row>
    <row r="7" spans="2:17" x14ac:dyDescent="0.55000000000000004">
      <c r="B7" s="69"/>
      <c r="C7" s="69"/>
      <c r="D7" s="69"/>
      <c r="E7" s="69"/>
      <c r="F7" s="81" t="s">
        <v>89</v>
      </c>
      <c r="G7" s="81"/>
      <c r="H7" s="81"/>
      <c r="I7" s="81"/>
      <c r="J7" s="81"/>
      <c r="K7" s="82"/>
    </row>
    <row r="8" spans="2:17" x14ac:dyDescent="0.55000000000000004">
      <c r="B8" s="69"/>
      <c r="C8" s="69"/>
      <c r="D8" s="69"/>
      <c r="E8" s="69"/>
      <c r="F8" s="74" t="s">
        <v>177</v>
      </c>
      <c r="G8" s="74"/>
      <c r="H8" s="74"/>
      <c r="I8" s="74"/>
      <c r="J8" s="74"/>
      <c r="K8" s="75"/>
    </row>
    <row r="10" spans="2:17" s="1" customFormat="1" ht="22.5" x14ac:dyDescent="0.55000000000000004">
      <c r="B10" s="70" t="s">
        <v>92</v>
      </c>
      <c r="C10" s="70"/>
      <c r="D10" s="70"/>
      <c r="E10" s="70"/>
      <c r="F10" s="70"/>
      <c r="G10" s="70"/>
      <c r="H10" s="70"/>
      <c r="I10" s="70"/>
      <c r="J10" s="70"/>
      <c r="K10" s="70"/>
    </row>
    <row r="11" spans="2:17" x14ac:dyDescent="0.55000000000000004">
      <c r="O11" s="69" t="s">
        <v>19</v>
      </c>
      <c r="P11" s="69"/>
      <c r="Q11" s="69"/>
    </row>
    <row r="12" spans="2:17" ht="40" customHeight="1" x14ac:dyDescent="0.55000000000000004">
      <c r="B12" s="8"/>
      <c r="C12" s="11" t="s">
        <v>85</v>
      </c>
      <c r="D12" s="11" t="s">
        <v>87</v>
      </c>
      <c r="E12" s="11" t="s">
        <v>91</v>
      </c>
      <c r="F12" s="8" t="s">
        <v>0</v>
      </c>
      <c r="G12" s="8" t="s">
        <v>1</v>
      </c>
      <c r="H12" s="8" t="s">
        <v>95</v>
      </c>
      <c r="I12" s="8" t="s">
        <v>94</v>
      </c>
      <c r="J12" s="69" t="s">
        <v>4</v>
      </c>
      <c r="K12" s="69"/>
      <c r="O12" s="8" t="s">
        <v>1</v>
      </c>
      <c r="P12" s="8" t="s">
        <v>95</v>
      </c>
      <c r="Q12" s="8" t="s">
        <v>2</v>
      </c>
    </row>
    <row r="13" spans="2:17" x14ac:dyDescent="0.55000000000000004">
      <c r="B13" s="99" t="s">
        <v>78</v>
      </c>
      <c r="C13" s="148">
        <v>20</v>
      </c>
      <c r="D13" s="150">
        <v>10</v>
      </c>
      <c r="E13" s="150">
        <v>1000</v>
      </c>
      <c r="F13" s="17" t="s">
        <v>92</v>
      </c>
      <c r="G13" s="43" t="s">
        <v>93</v>
      </c>
      <c r="H13" s="17"/>
      <c r="I13" s="18"/>
      <c r="J13" s="48">
        <f>IF(G13="シリコンコーク",C13*D13*E13,C13*D13*E13/1000)</f>
        <v>200</v>
      </c>
      <c r="K13" s="29" t="str">
        <f>IF(G13="シリコンコーク","ml","L")</f>
        <v>L</v>
      </c>
      <c r="O13" s="3" t="s">
        <v>153</v>
      </c>
      <c r="P13" s="3"/>
      <c r="Q13" s="3"/>
    </row>
    <row r="14" spans="2:17" ht="18" customHeight="1" x14ac:dyDescent="0.55000000000000004">
      <c r="B14" s="107"/>
      <c r="C14" s="154"/>
      <c r="D14" s="152"/>
      <c r="E14" s="152"/>
      <c r="F14" s="20" t="s">
        <v>28</v>
      </c>
      <c r="G14" s="44" t="s">
        <v>36</v>
      </c>
      <c r="H14" s="25" t="s">
        <v>96</v>
      </c>
      <c r="I14" s="21" t="str">
        <f>VLOOKUP(H14,$P$26:$Q$27,2,FALSE)</f>
        <v>200g/㎡</v>
      </c>
      <c r="J14" s="49">
        <f>D13/1000*2*E13*IF(H14="多孔質",200,100)</f>
        <v>4000</v>
      </c>
      <c r="K14" s="45" t="s">
        <v>104</v>
      </c>
      <c r="O14" s="3" t="s">
        <v>93</v>
      </c>
      <c r="P14" s="3"/>
      <c r="Q14" s="3"/>
    </row>
    <row r="15" spans="2:17" ht="18" customHeight="1" x14ac:dyDescent="0.55000000000000004">
      <c r="B15" s="99" t="s">
        <v>79</v>
      </c>
      <c r="C15" s="148">
        <v>15</v>
      </c>
      <c r="D15" s="150">
        <v>10</v>
      </c>
      <c r="E15" s="150">
        <v>3000</v>
      </c>
      <c r="F15" s="17" t="s">
        <v>92</v>
      </c>
      <c r="G15" s="43" t="s">
        <v>167</v>
      </c>
      <c r="H15" s="17"/>
      <c r="I15" s="18"/>
      <c r="J15" s="48">
        <f>IF(G15="シリコンコーク",C15*D15*E15,C15*D15*E15/1000)</f>
        <v>450</v>
      </c>
      <c r="K15" s="29" t="str">
        <f>IF(G15="シリコンコーク","ml","L")</f>
        <v>L</v>
      </c>
      <c r="O15" s="3" t="s">
        <v>154</v>
      </c>
      <c r="P15" s="3"/>
      <c r="Q15" s="3"/>
    </row>
    <row r="16" spans="2:17" x14ac:dyDescent="0.55000000000000004">
      <c r="B16" s="100"/>
      <c r="C16" s="149"/>
      <c r="D16" s="152"/>
      <c r="E16" s="151"/>
      <c r="F16" s="20" t="s">
        <v>28</v>
      </c>
      <c r="G16" s="44" t="s">
        <v>159</v>
      </c>
      <c r="H16" s="25" t="s">
        <v>96</v>
      </c>
      <c r="I16" s="21" t="str">
        <f>VLOOKUP(H16,$P$26:$Q$27,2,FALSE)</f>
        <v>200g/㎡</v>
      </c>
      <c r="J16" s="49">
        <f>D15/1000*2*E15*IF(H16="多孔質",200,100)</f>
        <v>12000</v>
      </c>
      <c r="K16" s="45" t="s">
        <v>104</v>
      </c>
      <c r="O16" s="3" t="s">
        <v>37</v>
      </c>
      <c r="P16" s="3"/>
      <c r="Q16" s="3"/>
    </row>
    <row r="17" spans="2:17" ht="18" customHeight="1" x14ac:dyDescent="0.55000000000000004">
      <c r="B17" s="99" t="s">
        <v>80</v>
      </c>
      <c r="C17" s="148">
        <v>10</v>
      </c>
      <c r="D17" s="153">
        <v>10</v>
      </c>
      <c r="E17" s="150">
        <v>1000</v>
      </c>
      <c r="F17" s="17" t="s">
        <v>92</v>
      </c>
      <c r="G17" s="43" t="s">
        <v>187</v>
      </c>
      <c r="H17" s="17"/>
      <c r="I17" s="18"/>
      <c r="J17" s="48">
        <f>IF(G17="シリコンコーク",C17*D17*E17,C17*D17*E17/1000)</f>
        <v>100000</v>
      </c>
      <c r="K17" s="29" t="str">
        <f>IF(G17="シリコンコーク","ml","L")</f>
        <v>ml</v>
      </c>
      <c r="O17" s="3" t="s">
        <v>155</v>
      </c>
      <c r="P17" s="3"/>
      <c r="Q17" s="3"/>
    </row>
    <row r="18" spans="2:17" x14ac:dyDescent="0.55000000000000004">
      <c r="B18" s="100"/>
      <c r="C18" s="149"/>
      <c r="D18" s="153"/>
      <c r="E18" s="151"/>
      <c r="F18" s="20" t="s">
        <v>28</v>
      </c>
      <c r="G18" s="44" t="s">
        <v>189</v>
      </c>
      <c r="H18" s="25" t="s">
        <v>97</v>
      </c>
      <c r="I18" s="21" t="str">
        <f>VLOOKUP(H18,$P$26:$Q$27,2,FALSE)</f>
        <v>100g/㎡</v>
      </c>
      <c r="J18" s="49">
        <f>D17/1000*2*E17*IF(H18="多孔質",200,100)</f>
        <v>2000</v>
      </c>
      <c r="K18" s="45" t="s">
        <v>104</v>
      </c>
      <c r="O18" s="3" t="s">
        <v>156</v>
      </c>
      <c r="P18" s="3"/>
      <c r="Q18" s="3"/>
    </row>
    <row r="19" spans="2:17" ht="18" customHeight="1" x14ac:dyDescent="0.55000000000000004">
      <c r="B19" s="99" t="s">
        <v>81</v>
      </c>
      <c r="C19" s="148">
        <v>20</v>
      </c>
      <c r="D19" s="150">
        <v>10</v>
      </c>
      <c r="E19" s="150">
        <v>1000</v>
      </c>
      <c r="F19" s="17" t="s">
        <v>92</v>
      </c>
      <c r="G19" s="43" t="s">
        <v>167</v>
      </c>
      <c r="H19" s="17"/>
      <c r="I19" s="18"/>
      <c r="J19" s="48">
        <f>IF(G19="シリコンコーク",C19*D19*E19,C19*D19*E19/1000)</f>
        <v>200</v>
      </c>
      <c r="K19" s="29" t="str">
        <f>IF(G19="シリコンコーク","ml","L")</f>
        <v>L</v>
      </c>
      <c r="O19" s="3" t="s">
        <v>185</v>
      </c>
      <c r="P19" s="3"/>
      <c r="Q19" s="3"/>
    </row>
    <row r="20" spans="2:17" x14ac:dyDescent="0.55000000000000004">
      <c r="B20" s="100"/>
      <c r="C20" s="154"/>
      <c r="D20" s="152"/>
      <c r="E20" s="152"/>
      <c r="F20" s="20" t="s">
        <v>28</v>
      </c>
      <c r="G20" s="44" t="s">
        <v>36</v>
      </c>
      <c r="H20" s="25" t="s">
        <v>97</v>
      </c>
      <c r="I20" s="21" t="str">
        <f>VLOOKUP(H20,$P$26:$Q$27,2,FALSE)</f>
        <v>100g/㎡</v>
      </c>
      <c r="J20" s="49">
        <f>D19/1000*2*E19*IF(H20="多孔質",200,100)</f>
        <v>2000</v>
      </c>
      <c r="K20" s="45" t="s">
        <v>104</v>
      </c>
      <c r="O20" s="3" t="s">
        <v>188</v>
      </c>
      <c r="P20" s="3"/>
      <c r="Q20" s="3"/>
    </row>
    <row r="21" spans="2:17" ht="17.5" customHeight="1" x14ac:dyDescent="0.55000000000000004">
      <c r="B21" s="99" t="s">
        <v>82</v>
      </c>
      <c r="C21" s="148">
        <v>15</v>
      </c>
      <c r="D21" s="150">
        <v>10</v>
      </c>
      <c r="E21" s="150">
        <v>3000</v>
      </c>
      <c r="F21" s="17" t="s">
        <v>92</v>
      </c>
      <c r="G21" s="43" t="s">
        <v>93</v>
      </c>
      <c r="H21" s="17"/>
      <c r="I21" s="18"/>
      <c r="J21" s="48">
        <f>IF(G21="シリコンコーク",C21*D21*E21,C21*D21*E21/1000)</f>
        <v>450</v>
      </c>
      <c r="K21" s="29" t="str">
        <f>IF(G21="シリコンコーク","ml","L")</f>
        <v>L</v>
      </c>
      <c r="O21" s="3" t="s">
        <v>36</v>
      </c>
      <c r="P21" s="3"/>
      <c r="Q21" s="3"/>
    </row>
    <row r="22" spans="2:17" ht="17.5" customHeight="1" x14ac:dyDescent="0.55000000000000004">
      <c r="B22" s="100"/>
      <c r="C22" s="149"/>
      <c r="D22" s="152"/>
      <c r="E22" s="151"/>
      <c r="F22" s="20" t="s">
        <v>28</v>
      </c>
      <c r="G22" s="44" t="s">
        <v>36</v>
      </c>
      <c r="H22" s="25" t="s">
        <v>96</v>
      </c>
      <c r="I22" s="21" t="str">
        <f>VLOOKUP(H22,$P$26:$Q$27,2,FALSE)</f>
        <v>200g/㎡</v>
      </c>
      <c r="J22" s="49">
        <f>D21/1000*2*E21*IF(H22="多孔質",200,100)</f>
        <v>12000</v>
      </c>
      <c r="K22" s="45" t="s">
        <v>104</v>
      </c>
      <c r="O22" s="3" t="s">
        <v>157</v>
      </c>
      <c r="P22" s="3"/>
      <c r="Q22" s="3"/>
    </row>
    <row r="23" spans="2:17" ht="18" customHeight="1" x14ac:dyDescent="0.55000000000000004">
      <c r="B23" s="99" t="s">
        <v>83</v>
      </c>
      <c r="C23" s="148">
        <v>10</v>
      </c>
      <c r="D23" s="153">
        <v>10</v>
      </c>
      <c r="E23" s="150">
        <v>1000</v>
      </c>
      <c r="F23" s="17" t="s">
        <v>92</v>
      </c>
      <c r="G23" s="43" t="s">
        <v>93</v>
      </c>
      <c r="H23" s="17"/>
      <c r="I23" s="18"/>
      <c r="J23" s="48">
        <f>IF(G23="シリコンコーク",C23*D23*E23,C23*D23*E23/1000)</f>
        <v>100</v>
      </c>
      <c r="K23" s="29" t="str">
        <f>IF(G23="シリコンコーク","ml","L")</f>
        <v>L</v>
      </c>
      <c r="O23" s="3" t="s">
        <v>158</v>
      </c>
      <c r="P23" s="3"/>
      <c r="Q23" s="3"/>
    </row>
    <row r="24" spans="2:17" x14ac:dyDescent="0.55000000000000004">
      <c r="B24" s="100"/>
      <c r="C24" s="149"/>
      <c r="D24" s="153"/>
      <c r="E24" s="151"/>
      <c r="F24" s="20" t="s">
        <v>28</v>
      </c>
      <c r="G24" s="44" t="s">
        <v>36</v>
      </c>
      <c r="H24" s="25" t="s">
        <v>96</v>
      </c>
      <c r="I24" s="21" t="str">
        <f>VLOOKUP(H24,$P$26:$Q$27,2,FALSE)</f>
        <v>200g/㎡</v>
      </c>
      <c r="J24" s="49">
        <f>D23/1000*2*E23*IF(H24="多孔質",200,100)</f>
        <v>4000</v>
      </c>
      <c r="K24" s="45" t="s">
        <v>104</v>
      </c>
      <c r="O24" s="3" t="s">
        <v>159</v>
      </c>
      <c r="P24" s="3"/>
      <c r="Q24" s="3"/>
    </row>
    <row r="25" spans="2:17" ht="18" customHeight="1" x14ac:dyDescent="0.55000000000000004">
      <c r="B25" s="99" t="s">
        <v>100</v>
      </c>
      <c r="C25" s="148">
        <v>20</v>
      </c>
      <c r="D25" s="150">
        <v>10</v>
      </c>
      <c r="E25" s="150">
        <v>1000</v>
      </c>
      <c r="F25" s="17" t="s">
        <v>92</v>
      </c>
      <c r="G25" s="43" t="s">
        <v>93</v>
      </c>
      <c r="H25" s="17"/>
      <c r="I25" s="18"/>
      <c r="J25" s="48">
        <f>IF(G25="シリコンコーク",C25*D25*E25,C25*D25*E25/1000)</f>
        <v>200</v>
      </c>
      <c r="K25" s="29" t="str">
        <f>IF(G25="シリコンコーク","ml","L")</f>
        <v>L</v>
      </c>
      <c r="O25" s="3" t="s">
        <v>160</v>
      </c>
      <c r="P25" s="3"/>
      <c r="Q25" s="3"/>
    </row>
    <row r="26" spans="2:17" x14ac:dyDescent="0.55000000000000004">
      <c r="B26" s="100"/>
      <c r="C26" s="149"/>
      <c r="D26" s="151"/>
      <c r="E26" s="151"/>
      <c r="F26" s="20" t="s">
        <v>28</v>
      </c>
      <c r="G26" s="44" t="s">
        <v>36</v>
      </c>
      <c r="H26" s="25" t="s">
        <v>96</v>
      </c>
      <c r="I26" s="21" t="str">
        <f>VLOOKUP(H26,$P$26:$Q$27,2,FALSE)</f>
        <v>200g/㎡</v>
      </c>
      <c r="J26" s="49">
        <f>D25/1000*2*E25*IF(H26="多孔質",200,100)</f>
        <v>4000</v>
      </c>
      <c r="K26" s="52" t="s">
        <v>104</v>
      </c>
      <c r="O26" s="3"/>
      <c r="P26" s="3" t="s">
        <v>96</v>
      </c>
      <c r="Q26" s="3" t="s">
        <v>99</v>
      </c>
    </row>
    <row r="27" spans="2:17" ht="18" customHeight="1" x14ac:dyDescent="0.55000000000000004">
      <c r="B27" s="99" t="s">
        <v>101</v>
      </c>
      <c r="C27" s="148">
        <v>15</v>
      </c>
      <c r="D27" s="150">
        <v>10</v>
      </c>
      <c r="E27" s="150">
        <v>3000</v>
      </c>
      <c r="F27" s="17" t="s">
        <v>92</v>
      </c>
      <c r="G27" s="43" t="s">
        <v>93</v>
      </c>
      <c r="H27" s="17"/>
      <c r="I27" s="18"/>
      <c r="J27" s="48">
        <f>IF(G27="シリコンコーク",C27*D27*E27,C27*D27*E27/1000)</f>
        <v>450</v>
      </c>
      <c r="K27" s="29" t="str">
        <f>IF(G27="シリコンコーク","ml","L")</f>
        <v>L</v>
      </c>
      <c r="O27" s="3"/>
      <c r="P27" s="3" t="s">
        <v>97</v>
      </c>
      <c r="Q27" s="3" t="s">
        <v>98</v>
      </c>
    </row>
    <row r="28" spans="2:17" x14ac:dyDescent="0.55000000000000004">
      <c r="B28" s="100"/>
      <c r="C28" s="149"/>
      <c r="D28" s="151"/>
      <c r="E28" s="151"/>
      <c r="F28" s="20" t="s">
        <v>28</v>
      </c>
      <c r="G28" s="44" t="s">
        <v>36</v>
      </c>
      <c r="H28" s="25" t="s">
        <v>96</v>
      </c>
      <c r="I28" s="21" t="str">
        <f>VLOOKUP(H28,$P$26:$Q$27,2,FALSE)</f>
        <v>200g/㎡</v>
      </c>
      <c r="J28" s="49">
        <f>D27/1000*2*E27*IF(H28="多孔質",200,100)</f>
        <v>12000</v>
      </c>
      <c r="K28" s="52" t="s">
        <v>104</v>
      </c>
    </row>
    <row r="29" spans="2:17" ht="17.5" customHeight="1" x14ac:dyDescent="0.55000000000000004">
      <c r="B29" s="99" t="s">
        <v>102</v>
      </c>
      <c r="C29" s="148">
        <v>10</v>
      </c>
      <c r="D29" s="153">
        <v>10</v>
      </c>
      <c r="E29" s="150">
        <v>1000</v>
      </c>
      <c r="F29" s="17" t="s">
        <v>92</v>
      </c>
      <c r="G29" s="43" t="s">
        <v>93</v>
      </c>
      <c r="H29" s="17"/>
      <c r="I29" s="18"/>
      <c r="J29" s="48">
        <f>IF(G29="シリコンコーク",C29*D29*E29,C29*D29*E29/1000)</f>
        <v>100</v>
      </c>
      <c r="K29" s="29" t="str">
        <f>IF(G29="シリコンコーク","ml","L")</f>
        <v>L</v>
      </c>
    </row>
    <row r="30" spans="2:17" ht="17.5" customHeight="1" x14ac:dyDescent="0.55000000000000004">
      <c r="B30" s="100"/>
      <c r="C30" s="149"/>
      <c r="D30" s="153"/>
      <c r="E30" s="151"/>
      <c r="F30" s="20" t="s">
        <v>28</v>
      </c>
      <c r="G30" s="44" t="s">
        <v>36</v>
      </c>
      <c r="H30" s="25" t="s">
        <v>96</v>
      </c>
      <c r="I30" s="21" t="str">
        <f>VLOOKUP(H30,$P$26:$Q$27,2,FALSE)</f>
        <v>200g/㎡</v>
      </c>
      <c r="J30" s="49">
        <f>D29/1000*2*E29*IF(H30="多孔質",200,100)</f>
        <v>4000</v>
      </c>
      <c r="K30" s="45" t="s">
        <v>104</v>
      </c>
    </row>
    <row r="31" spans="2:17" ht="17.5" customHeight="1" x14ac:dyDescent="0.55000000000000004">
      <c r="B31" s="99" t="s">
        <v>103</v>
      </c>
      <c r="C31" s="148"/>
      <c r="D31" s="150"/>
      <c r="E31" s="150"/>
      <c r="F31" s="17" t="s">
        <v>92</v>
      </c>
      <c r="G31" s="43" t="s">
        <v>93</v>
      </c>
      <c r="H31" s="17"/>
      <c r="I31" s="18"/>
      <c r="J31" s="48">
        <f>IF(G31="シリコンコーク",C31*D31*E31,C31*D31*E31/1000)</f>
        <v>0</v>
      </c>
      <c r="K31" s="29" t="str">
        <f>IF(G31="シリコンコーク","ml","L")</f>
        <v>L</v>
      </c>
    </row>
    <row r="32" spans="2:17" ht="17.5" customHeight="1" x14ac:dyDescent="0.55000000000000004">
      <c r="B32" s="100"/>
      <c r="C32" s="149"/>
      <c r="D32" s="151"/>
      <c r="E32" s="151"/>
      <c r="F32" s="20" t="s">
        <v>28</v>
      </c>
      <c r="G32" s="44" t="s">
        <v>36</v>
      </c>
      <c r="H32" s="25" t="s">
        <v>96</v>
      </c>
      <c r="I32" s="21" t="str">
        <f>VLOOKUP(H32,$P$26:$Q$27,2,FALSE)</f>
        <v>200g/㎡</v>
      </c>
      <c r="J32" s="49">
        <f>D31/1000*2*E31*IF(H32="多孔質",200,100)</f>
        <v>0</v>
      </c>
      <c r="K32" s="45" t="s">
        <v>104</v>
      </c>
    </row>
    <row r="33" spans="2:11" ht="18.5" customHeight="1" x14ac:dyDescent="0.55000000000000004">
      <c r="J33" s="13"/>
      <c r="K33" s="13"/>
    </row>
    <row r="34" spans="2:11" x14ac:dyDescent="0.55000000000000004">
      <c r="B34" s="139" t="s">
        <v>84</v>
      </c>
      <c r="C34" s="140"/>
      <c r="D34" s="140"/>
      <c r="E34" s="141"/>
      <c r="F34" s="136" t="s">
        <v>105</v>
      </c>
      <c r="G34" s="26" t="s">
        <v>93</v>
      </c>
      <c r="H34" s="17"/>
      <c r="I34" s="17"/>
      <c r="J34" s="48">
        <f t="shared" ref="J34:J39" si="0">SUMIF($G$13:$G$32,G34,$J$13:$J$32)</f>
        <v>1500</v>
      </c>
      <c r="K34" s="29" t="str">
        <f t="shared" ref="K34:K36" si="1">IF(G34="シリコンコーク","ml","L")</f>
        <v>L</v>
      </c>
    </row>
    <row r="35" spans="2:11" x14ac:dyDescent="0.55000000000000004">
      <c r="B35" s="142"/>
      <c r="C35" s="143"/>
      <c r="D35" s="143"/>
      <c r="E35" s="144"/>
      <c r="F35" s="137"/>
      <c r="G35" s="42" t="s">
        <v>187</v>
      </c>
      <c r="H35" s="22"/>
      <c r="I35" s="22"/>
      <c r="J35" s="50">
        <f t="shared" si="0"/>
        <v>100000</v>
      </c>
      <c r="K35" s="31" t="str">
        <f t="shared" si="1"/>
        <v>ml</v>
      </c>
    </row>
    <row r="36" spans="2:11" x14ac:dyDescent="0.55000000000000004">
      <c r="B36" s="142"/>
      <c r="C36" s="143"/>
      <c r="D36" s="143"/>
      <c r="E36" s="144"/>
      <c r="F36" s="138"/>
      <c r="G36" s="25" t="s">
        <v>167</v>
      </c>
      <c r="H36" s="20"/>
      <c r="I36" s="20"/>
      <c r="J36" s="49">
        <f t="shared" si="0"/>
        <v>650</v>
      </c>
      <c r="K36" s="30" t="str">
        <f t="shared" si="1"/>
        <v>L</v>
      </c>
    </row>
    <row r="37" spans="2:11" x14ac:dyDescent="0.55000000000000004">
      <c r="B37" s="142"/>
      <c r="C37" s="143"/>
      <c r="D37" s="143"/>
      <c r="E37" s="144"/>
      <c r="F37" s="136" t="s">
        <v>28</v>
      </c>
      <c r="G37" s="26" t="s">
        <v>36</v>
      </c>
      <c r="H37" s="17"/>
      <c r="I37" s="17"/>
      <c r="J37" s="48">
        <f t="shared" si="0"/>
        <v>42000</v>
      </c>
      <c r="K37" s="46" t="s">
        <v>104</v>
      </c>
    </row>
    <row r="38" spans="2:11" x14ac:dyDescent="0.55000000000000004">
      <c r="B38" s="142"/>
      <c r="C38" s="143"/>
      <c r="D38" s="143"/>
      <c r="E38" s="144"/>
      <c r="F38" s="137"/>
      <c r="G38" s="42" t="s">
        <v>159</v>
      </c>
      <c r="H38" s="22"/>
      <c r="I38" s="22"/>
      <c r="J38" s="50">
        <f t="shared" si="0"/>
        <v>12000</v>
      </c>
      <c r="K38" s="47" t="s">
        <v>104</v>
      </c>
    </row>
    <row r="39" spans="2:11" x14ac:dyDescent="0.55000000000000004">
      <c r="B39" s="145"/>
      <c r="C39" s="146"/>
      <c r="D39" s="146"/>
      <c r="E39" s="147"/>
      <c r="F39" s="138"/>
      <c r="G39" s="25" t="s">
        <v>160</v>
      </c>
      <c r="H39" s="20"/>
      <c r="I39" s="20"/>
      <c r="J39" s="49">
        <f t="shared" si="0"/>
        <v>0</v>
      </c>
      <c r="K39" s="45" t="s">
        <v>104</v>
      </c>
    </row>
  </sheetData>
  <mergeCells count="55">
    <mergeCell ref="D27:D28"/>
    <mergeCell ref="D29:D30"/>
    <mergeCell ref="B1:K1"/>
    <mergeCell ref="B3:E4"/>
    <mergeCell ref="F3:K3"/>
    <mergeCell ref="F4:K4"/>
    <mergeCell ref="B5:E8"/>
    <mergeCell ref="F5:K5"/>
    <mergeCell ref="F6:K6"/>
    <mergeCell ref="F7:K7"/>
    <mergeCell ref="F8:K8"/>
    <mergeCell ref="B10:K10"/>
    <mergeCell ref="B23:B24"/>
    <mergeCell ref="C23:C24"/>
    <mergeCell ref="E23:E24"/>
    <mergeCell ref="B25:B26"/>
    <mergeCell ref="C25:C26"/>
    <mergeCell ref="O11:Q11"/>
    <mergeCell ref="J12:K12"/>
    <mergeCell ref="B13:B14"/>
    <mergeCell ref="C13:C14"/>
    <mergeCell ref="D13:D14"/>
    <mergeCell ref="E13:E14"/>
    <mergeCell ref="E25:E26"/>
    <mergeCell ref="B15:B16"/>
    <mergeCell ref="C15:C16"/>
    <mergeCell ref="E15:E16"/>
    <mergeCell ref="D15:D16"/>
    <mergeCell ref="B17:B18"/>
    <mergeCell ref="B27:B28"/>
    <mergeCell ref="C27:C28"/>
    <mergeCell ref="E27:E28"/>
    <mergeCell ref="C17:C18"/>
    <mergeCell ref="E17:E18"/>
    <mergeCell ref="D19:D20"/>
    <mergeCell ref="D21:D22"/>
    <mergeCell ref="D23:D24"/>
    <mergeCell ref="D25:D26"/>
    <mergeCell ref="B21:B22"/>
    <mergeCell ref="C21:C22"/>
    <mergeCell ref="E21:E22"/>
    <mergeCell ref="B19:B20"/>
    <mergeCell ref="C19:C20"/>
    <mergeCell ref="E19:E20"/>
    <mergeCell ref="D17:D18"/>
    <mergeCell ref="F34:F36"/>
    <mergeCell ref="F37:F39"/>
    <mergeCell ref="B34:E39"/>
    <mergeCell ref="B29:B30"/>
    <mergeCell ref="C29:C30"/>
    <mergeCell ref="E29:E30"/>
    <mergeCell ref="D31:D32"/>
    <mergeCell ref="B31:B32"/>
    <mergeCell ref="C31:C32"/>
    <mergeCell ref="E31:E32"/>
  </mergeCells>
  <phoneticPr fontId="2"/>
  <dataValidations count="3">
    <dataValidation type="list" allowBlank="1" showInputMessage="1" showErrorMessage="1" sqref="G14 G30 G16 G18 G20 G22 G24 G26 G28 G32 G37:G39" xr:uid="{1784D315-CB91-40DE-8A80-1BCE5C61FACF}">
      <formula1>$O$21:$O$25</formula1>
    </dataValidation>
    <dataValidation type="list" allowBlank="1" showInputMessage="1" showErrorMessage="1" sqref="H14 H30 H16 H18 H20 H22 H24 H26 H28 H32" xr:uid="{0D4D7D9B-66C7-4BF4-BD2E-C1609DA62FCB}">
      <formula1>$P$26:$P$27</formula1>
    </dataValidation>
    <dataValidation type="list" allowBlank="1" showInputMessage="1" showErrorMessage="1" sqref="G13 G15 G17 G19 G21 G23 G25 G27 G29 G31 G34:G36" xr:uid="{0C43F127-8CBF-4BFD-81B1-3F303CE3CAFB}">
      <formula1>$O$13:$O$20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fitToWidth="0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91B8-2171-4ACC-A6B0-9BBEE9F058EF}">
  <dimension ref="B1:L17"/>
  <sheetViews>
    <sheetView view="pageBreakPreview" zoomScale="70" zoomScaleNormal="70" zoomScaleSheetLayoutView="70" workbookViewId="0">
      <selection activeCell="I19" sqref="I19"/>
    </sheetView>
  </sheetViews>
  <sheetFormatPr defaultRowHeight="17.5" x14ac:dyDescent="0.55000000000000004"/>
  <cols>
    <col min="1" max="1" width="3.08203125" style="2" customWidth="1"/>
    <col min="2" max="7" width="5.58203125" style="2" customWidth="1"/>
    <col min="8" max="8" width="20.58203125" style="2" customWidth="1"/>
    <col min="9" max="9" width="35.58203125" style="2" customWidth="1"/>
    <col min="10" max="10" width="15.58203125" style="2" customWidth="1"/>
    <col min="11" max="12" width="10.58203125" style="2" customWidth="1"/>
    <col min="13" max="14" width="3.08203125" style="2" customWidth="1"/>
    <col min="15" max="17" width="8.6640625" style="2"/>
    <col min="18" max="18" width="20.4140625" style="2" bestFit="1" customWidth="1"/>
    <col min="19" max="19" width="24.9140625" style="2" bestFit="1" customWidth="1"/>
    <col min="20" max="20" width="22.83203125" style="2" bestFit="1" customWidth="1"/>
    <col min="21" max="16384" width="8.6640625" style="2"/>
  </cols>
  <sheetData>
    <row r="1" spans="2:12" s="1" customFormat="1" ht="21" customHeight="1" x14ac:dyDescent="0.55000000000000004">
      <c r="B1" s="68" t="s">
        <v>57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3" spans="2:12" ht="17.5" customHeight="1" x14ac:dyDescent="0.55000000000000004">
      <c r="B3" s="69" t="s">
        <v>10</v>
      </c>
      <c r="C3" s="69"/>
      <c r="D3" s="69"/>
      <c r="E3" s="69"/>
      <c r="F3" s="69"/>
      <c r="G3" s="109" t="s">
        <v>172</v>
      </c>
      <c r="H3" s="110"/>
      <c r="I3" s="110"/>
      <c r="J3" s="110"/>
      <c r="K3" s="110"/>
      <c r="L3" s="111"/>
    </row>
    <row r="4" spans="2:12" x14ac:dyDescent="0.55000000000000004">
      <c r="B4" s="69"/>
      <c r="C4" s="69"/>
      <c r="D4" s="69"/>
      <c r="E4" s="69"/>
      <c r="F4" s="69"/>
      <c r="G4" s="73" t="s">
        <v>182</v>
      </c>
      <c r="H4" s="74"/>
      <c r="I4" s="74"/>
      <c r="J4" s="74"/>
      <c r="K4" s="74"/>
      <c r="L4" s="75"/>
    </row>
    <row r="5" spans="2:12" x14ac:dyDescent="0.55000000000000004">
      <c r="B5" s="69" t="s">
        <v>11</v>
      </c>
      <c r="C5" s="69"/>
      <c r="D5" s="69"/>
      <c r="E5" s="69"/>
      <c r="F5" s="69"/>
      <c r="G5" s="76" t="s">
        <v>8</v>
      </c>
      <c r="H5" s="76"/>
      <c r="I5" s="76"/>
      <c r="J5" s="76"/>
      <c r="K5" s="76"/>
      <c r="L5" s="77"/>
    </row>
    <row r="6" spans="2:12" x14ac:dyDescent="0.55000000000000004">
      <c r="B6" s="69"/>
      <c r="C6" s="69"/>
      <c r="D6" s="69"/>
      <c r="E6" s="69"/>
      <c r="F6" s="69"/>
      <c r="G6" s="81" t="s">
        <v>9</v>
      </c>
      <c r="H6" s="81"/>
      <c r="I6" s="81"/>
      <c r="J6" s="81"/>
      <c r="K6" s="81"/>
      <c r="L6" s="82"/>
    </row>
    <row r="7" spans="2:12" x14ac:dyDescent="0.55000000000000004">
      <c r="B7" s="69"/>
      <c r="C7" s="69"/>
      <c r="D7" s="69"/>
      <c r="E7" s="69"/>
      <c r="F7" s="69"/>
      <c r="G7" s="81" t="s">
        <v>89</v>
      </c>
      <c r="H7" s="81"/>
      <c r="I7" s="81"/>
      <c r="J7" s="81"/>
      <c r="K7" s="81"/>
      <c r="L7" s="82"/>
    </row>
    <row r="8" spans="2:12" x14ac:dyDescent="0.55000000000000004">
      <c r="B8" s="69"/>
      <c r="C8" s="69"/>
      <c r="D8" s="69"/>
      <c r="E8" s="69"/>
      <c r="F8" s="69"/>
      <c r="G8" s="74" t="s">
        <v>90</v>
      </c>
      <c r="H8" s="74"/>
      <c r="I8" s="74"/>
      <c r="J8" s="74"/>
      <c r="K8" s="74"/>
      <c r="L8" s="75"/>
    </row>
    <row r="10" spans="2:12" s="1" customFormat="1" ht="22.5" x14ac:dyDescent="0.55000000000000004">
      <c r="B10" s="70" t="s">
        <v>106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2" spans="2:12" ht="40" customHeight="1" x14ac:dyDescent="0.55000000000000004">
      <c r="B12" s="11" t="s">
        <v>85</v>
      </c>
      <c r="C12" s="11" t="s">
        <v>86</v>
      </c>
      <c r="D12" s="11" t="s">
        <v>87</v>
      </c>
      <c r="E12" s="8" t="s">
        <v>72</v>
      </c>
      <c r="F12" s="69" t="s">
        <v>77</v>
      </c>
      <c r="G12" s="69"/>
      <c r="H12" s="69" t="s">
        <v>0</v>
      </c>
      <c r="I12" s="69"/>
      <c r="J12" s="8" t="s">
        <v>111</v>
      </c>
      <c r="K12" s="69" t="s">
        <v>4</v>
      </c>
      <c r="L12" s="69"/>
    </row>
    <row r="13" spans="2:12" x14ac:dyDescent="0.55000000000000004">
      <c r="B13" s="15">
        <v>50</v>
      </c>
      <c r="C13" s="16">
        <v>50</v>
      </c>
      <c r="D13" s="16">
        <v>100</v>
      </c>
      <c r="E13" s="16">
        <v>100</v>
      </c>
      <c r="F13" s="53">
        <f>B13*C13*D13/1000000*E13</f>
        <v>25</v>
      </c>
      <c r="G13" s="32" t="s">
        <v>74</v>
      </c>
      <c r="H13" s="6" t="s">
        <v>75</v>
      </c>
      <c r="I13" s="6" t="s">
        <v>112</v>
      </c>
      <c r="J13" s="51">
        <v>1.6</v>
      </c>
      <c r="K13" s="53">
        <f>F13*J13</f>
        <v>40</v>
      </c>
      <c r="L13" s="28" t="s">
        <v>7</v>
      </c>
    </row>
    <row r="15" spans="2:12" x14ac:dyDescent="0.55000000000000004">
      <c r="H15" s="8" t="s">
        <v>0</v>
      </c>
      <c r="I15" s="8" t="s">
        <v>1</v>
      </c>
      <c r="J15" s="8" t="s">
        <v>113</v>
      </c>
      <c r="K15" s="69" t="s">
        <v>4</v>
      </c>
      <c r="L15" s="69"/>
    </row>
    <row r="16" spans="2:12" x14ac:dyDescent="0.55000000000000004">
      <c r="H16" s="6" t="s">
        <v>107</v>
      </c>
      <c r="I16" s="6" t="s">
        <v>109</v>
      </c>
      <c r="J16" s="155" t="s">
        <v>114</v>
      </c>
      <c r="K16" s="33">
        <f>K13/2</f>
        <v>20</v>
      </c>
      <c r="L16" s="28" t="s">
        <v>7</v>
      </c>
    </row>
    <row r="17" spans="8:12" x14ac:dyDescent="0.55000000000000004">
      <c r="H17" s="6" t="s">
        <v>108</v>
      </c>
      <c r="I17" s="6" t="s">
        <v>110</v>
      </c>
      <c r="J17" s="155"/>
      <c r="K17" s="33">
        <f>K13/2</f>
        <v>20</v>
      </c>
      <c r="L17" s="32" t="s">
        <v>7</v>
      </c>
    </row>
  </sheetData>
  <mergeCells count="15">
    <mergeCell ref="B1:L1"/>
    <mergeCell ref="B3:F4"/>
    <mergeCell ref="G3:L3"/>
    <mergeCell ref="G4:L4"/>
    <mergeCell ref="B5:F8"/>
    <mergeCell ref="G5:L5"/>
    <mergeCell ref="G6:L6"/>
    <mergeCell ref="G7:L7"/>
    <mergeCell ref="G8:L8"/>
    <mergeCell ref="H12:I12"/>
    <mergeCell ref="J16:J17"/>
    <mergeCell ref="K15:L15"/>
    <mergeCell ref="B10:L10"/>
    <mergeCell ref="F12:G12"/>
    <mergeCell ref="K12:L12"/>
  </mergeCells>
  <phoneticPr fontId="2"/>
  <printOptions horizontalCentered="1"/>
  <pageMargins left="0.39370078740157483" right="0.39370078740157483" top="0.59055118110236227" bottom="0.59055118110236227" header="0.39370078740157483" footer="0.39370078740157483"/>
  <pageSetup paperSize="9" fitToWidth="0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B3A0-659C-4EF9-9199-E204A96B778E}">
  <dimension ref="B1:M23"/>
  <sheetViews>
    <sheetView view="pageBreakPreview" zoomScale="70" zoomScaleNormal="70" zoomScaleSheetLayoutView="70" workbookViewId="0">
      <selection activeCell="E21" sqref="E21"/>
    </sheetView>
  </sheetViews>
  <sheetFormatPr defaultRowHeight="17.5" x14ac:dyDescent="0.55000000000000004"/>
  <cols>
    <col min="1" max="1" width="3.08203125" style="2" customWidth="1"/>
    <col min="2" max="2" width="20.58203125" style="2" customWidth="1"/>
    <col min="3" max="4" width="30.58203125" style="2" customWidth="1"/>
    <col min="5" max="5" width="20.58203125" style="2" customWidth="1"/>
    <col min="6" max="7" width="10.58203125" style="2" customWidth="1"/>
    <col min="8" max="9" width="3.08203125" style="2" customWidth="1"/>
    <col min="10" max="10" width="8.6640625" style="2"/>
    <col min="11" max="12" width="30.58203125" style="2" customWidth="1"/>
    <col min="13" max="13" width="20.58203125" style="2" customWidth="1"/>
    <col min="14" max="14" width="8.6640625" style="2"/>
    <col min="15" max="16" width="14.83203125" style="2" customWidth="1"/>
    <col min="17" max="17" width="24.9140625" style="2" bestFit="1" customWidth="1"/>
    <col min="18" max="18" width="22.83203125" style="2" bestFit="1" customWidth="1"/>
    <col min="19" max="16384" width="8.6640625" style="2"/>
  </cols>
  <sheetData>
    <row r="1" spans="2:13" s="1" customFormat="1" ht="21" customHeight="1" x14ac:dyDescent="0.55000000000000004">
      <c r="B1" s="68" t="s">
        <v>57</v>
      </c>
      <c r="C1" s="68"/>
      <c r="D1" s="68"/>
      <c r="E1" s="68"/>
      <c r="F1" s="68"/>
      <c r="G1" s="68"/>
    </row>
    <row r="3" spans="2:13" x14ac:dyDescent="0.55000000000000004">
      <c r="B3" s="118" t="s">
        <v>10</v>
      </c>
      <c r="C3" s="115" t="s">
        <v>190</v>
      </c>
      <c r="D3" s="76"/>
      <c r="E3" s="76"/>
      <c r="F3" s="76"/>
      <c r="G3" s="77"/>
    </row>
    <row r="4" spans="2:13" x14ac:dyDescent="0.55000000000000004">
      <c r="B4" s="120"/>
      <c r="C4" s="73" t="s">
        <v>191</v>
      </c>
      <c r="D4" s="74"/>
      <c r="E4" s="74"/>
      <c r="F4" s="74"/>
      <c r="G4" s="75"/>
    </row>
    <row r="5" spans="2:13" x14ac:dyDescent="0.55000000000000004">
      <c r="B5" s="118" t="s">
        <v>11</v>
      </c>
      <c r="C5" s="115" t="s">
        <v>8</v>
      </c>
      <c r="D5" s="76"/>
      <c r="E5" s="76"/>
      <c r="F5" s="76"/>
      <c r="G5" s="77"/>
    </row>
    <row r="6" spans="2:13" x14ac:dyDescent="0.55000000000000004">
      <c r="B6" s="119"/>
      <c r="C6" s="116" t="s">
        <v>9</v>
      </c>
      <c r="D6" s="81"/>
      <c r="E6" s="81"/>
      <c r="F6" s="81"/>
      <c r="G6" s="82"/>
    </row>
    <row r="7" spans="2:13" x14ac:dyDescent="0.55000000000000004">
      <c r="B7" s="119"/>
      <c r="C7" s="116" t="s">
        <v>192</v>
      </c>
      <c r="D7" s="81"/>
      <c r="E7" s="81"/>
      <c r="F7" s="81"/>
      <c r="G7" s="82"/>
    </row>
    <row r="8" spans="2:13" x14ac:dyDescent="0.55000000000000004">
      <c r="B8" s="120"/>
      <c r="C8" s="73" t="s">
        <v>193</v>
      </c>
      <c r="D8" s="74"/>
      <c r="E8" s="74"/>
      <c r="F8" s="74"/>
      <c r="G8" s="75"/>
    </row>
    <row r="10" spans="2:13" s="1" customFormat="1" ht="22.5" x14ac:dyDescent="0.55000000000000004">
      <c r="B10" s="70" t="s">
        <v>194</v>
      </c>
      <c r="C10" s="70"/>
      <c r="D10" s="70"/>
      <c r="E10" s="70"/>
      <c r="F10" s="70"/>
      <c r="G10" s="70"/>
    </row>
    <row r="12" spans="2:13" x14ac:dyDescent="0.55000000000000004">
      <c r="E12" s="63" t="s">
        <v>3</v>
      </c>
      <c r="F12" s="16">
        <v>30</v>
      </c>
      <c r="G12" s="62" t="s">
        <v>195</v>
      </c>
    </row>
    <row r="13" spans="2:13" x14ac:dyDescent="0.55000000000000004">
      <c r="K13" s="69" t="s">
        <v>19</v>
      </c>
      <c r="L13" s="69"/>
      <c r="M13" s="69"/>
    </row>
    <row r="14" spans="2:13" x14ac:dyDescent="0.55000000000000004">
      <c r="B14" s="60" t="s">
        <v>0</v>
      </c>
      <c r="C14" s="60" t="s">
        <v>1</v>
      </c>
      <c r="D14" s="60" t="s">
        <v>196</v>
      </c>
      <c r="E14" s="60" t="s">
        <v>2</v>
      </c>
      <c r="F14" s="69" t="s">
        <v>4</v>
      </c>
      <c r="G14" s="69"/>
      <c r="K14" s="60" t="s">
        <v>1</v>
      </c>
      <c r="L14" s="60" t="s">
        <v>196</v>
      </c>
      <c r="M14" s="60" t="s">
        <v>2</v>
      </c>
    </row>
    <row r="15" spans="2:13" x14ac:dyDescent="0.55000000000000004">
      <c r="B15" s="62" t="s">
        <v>197</v>
      </c>
      <c r="C15" s="62" t="s">
        <v>198</v>
      </c>
      <c r="D15" s="61" t="s">
        <v>199</v>
      </c>
      <c r="E15" s="62" t="s">
        <v>200</v>
      </c>
      <c r="F15" s="33">
        <f>F12*0.2</f>
        <v>6</v>
      </c>
      <c r="G15" s="28" t="s">
        <v>7</v>
      </c>
      <c r="K15" s="3" t="s">
        <v>201</v>
      </c>
      <c r="L15" s="3"/>
      <c r="M15" s="3"/>
    </row>
    <row r="16" spans="2:13" x14ac:dyDescent="0.55000000000000004">
      <c r="B16" s="61" t="s">
        <v>202</v>
      </c>
      <c r="C16" s="19" t="s">
        <v>251</v>
      </c>
      <c r="D16" s="19" t="s">
        <v>203</v>
      </c>
      <c r="E16" s="19" t="s">
        <v>257</v>
      </c>
      <c r="F16" s="34">
        <f>F12*2.75*0.8</f>
        <v>66</v>
      </c>
      <c r="G16" s="29" t="s">
        <v>7</v>
      </c>
      <c r="K16" s="3" t="s">
        <v>204</v>
      </c>
      <c r="L16" s="3"/>
      <c r="M16" s="3"/>
    </row>
    <row r="17" spans="2:13" x14ac:dyDescent="0.55000000000000004">
      <c r="B17" s="62" t="s">
        <v>205</v>
      </c>
      <c r="C17" s="62" t="s">
        <v>206</v>
      </c>
      <c r="D17" s="62"/>
      <c r="E17" s="62" t="s">
        <v>207</v>
      </c>
      <c r="F17" s="33">
        <f>F12*1.1</f>
        <v>33</v>
      </c>
      <c r="G17" s="28" t="s">
        <v>134</v>
      </c>
      <c r="K17" s="3" t="s">
        <v>208</v>
      </c>
      <c r="L17" s="3"/>
      <c r="M17" s="3"/>
    </row>
    <row r="18" spans="2:13" x14ac:dyDescent="0.55000000000000004">
      <c r="B18" s="62" t="s">
        <v>209</v>
      </c>
      <c r="C18" s="5" t="s">
        <v>210</v>
      </c>
      <c r="D18" s="62"/>
      <c r="E18" s="62" t="s">
        <v>211</v>
      </c>
      <c r="F18" s="33">
        <f>F12*4</f>
        <v>120</v>
      </c>
      <c r="G18" s="28" t="s">
        <v>5</v>
      </c>
      <c r="K18" s="3" t="s">
        <v>212</v>
      </c>
      <c r="L18" s="3"/>
      <c r="M18" s="3"/>
    </row>
    <row r="19" spans="2:13" x14ac:dyDescent="0.55000000000000004">
      <c r="B19" s="62" t="s">
        <v>213</v>
      </c>
      <c r="C19" s="5" t="s">
        <v>128</v>
      </c>
      <c r="D19" s="5" t="s">
        <v>214</v>
      </c>
      <c r="E19" s="65">
        <f>VLOOKUP(D19,L21:M23,2,FALSE)</f>
        <v>0.03</v>
      </c>
      <c r="F19" s="33">
        <f>F12*4*E19</f>
        <v>3.5999999999999996</v>
      </c>
      <c r="G19" s="28" t="s">
        <v>7</v>
      </c>
      <c r="K19" s="3" t="s">
        <v>12</v>
      </c>
      <c r="L19" s="3"/>
      <c r="M19" s="3"/>
    </row>
    <row r="20" spans="2:13" x14ac:dyDescent="0.55000000000000004">
      <c r="B20" s="62" t="s">
        <v>215</v>
      </c>
      <c r="C20" s="62" t="s">
        <v>251</v>
      </c>
      <c r="D20" s="62" t="s">
        <v>203</v>
      </c>
      <c r="E20" s="62" t="s">
        <v>258</v>
      </c>
      <c r="F20" s="33">
        <f>F12*1.5*0.8</f>
        <v>36</v>
      </c>
      <c r="G20" s="28" t="s">
        <v>7</v>
      </c>
      <c r="K20" s="3" t="s">
        <v>13</v>
      </c>
      <c r="L20" s="3"/>
      <c r="M20" s="3"/>
    </row>
    <row r="21" spans="2:13" x14ac:dyDescent="0.55000000000000004">
      <c r="K21" s="3"/>
      <c r="L21" s="3" t="s">
        <v>214</v>
      </c>
      <c r="M21" s="3">
        <v>0.03</v>
      </c>
    </row>
    <row r="22" spans="2:13" x14ac:dyDescent="0.55000000000000004">
      <c r="K22" s="3"/>
      <c r="L22" s="3" t="s">
        <v>216</v>
      </c>
      <c r="M22" s="3">
        <v>1E-3</v>
      </c>
    </row>
    <row r="23" spans="2:13" x14ac:dyDescent="0.55000000000000004">
      <c r="K23" s="3"/>
      <c r="L23" s="3" t="s">
        <v>217</v>
      </c>
      <c r="M23" s="3">
        <v>1.5E-3</v>
      </c>
    </row>
  </sheetData>
  <mergeCells count="12">
    <mergeCell ref="B10:G10"/>
    <mergeCell ref="K13:M13"/>
    <mergeCell ref="F14:G14"/>
    <mergeCell ref="B1:G1"/>
    <mergeCell ref="B3:B4"/>
    <mergeCell ref="C3:G3"/>
    <mergeCell ref="C4:G4"/>
    <mergeCell ref="B5:B8"/>
    <mergeCell ref="C5:G5"/>
    <mergeCell ref="C6:G6"/>
    <mergeCell ref="C7:G7"/>
    <mergeCell ref="C8:G8"/>
  </mergeCells>
  <phoneticPr fontId="2"/>
  <dataValidations count="3">
    <dataValidation type="list" allowBlank="1" showInputMessage="1" showErrorMessage="1" sqref="C18" xr:uid="{E9222E73-4CC6-4FA1-8573-BC65081195E3}">
      <formula1>$K$15:$K$18</formula1>
    </dataValidation>
    <dataValidation type="list" allowBlank="1" showInputMessage="1" showErrorMessage="1" sqref="C19" xr:uid="{23FD60A7-51C9-4462-A9ED-F5F2C6258E41}">
      <formula1>$K$19:$K$20</formula1>
    </dataValidation>
    <dataValidation type="list" allowBlank="1" showInputMessage="1" showErrorMessage="1" sqref="D19" xr:uid="{733671DD-57EA-4689-B911-6D0CE58F63BE}">
      <formula1>$L$21:$L$23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A0B0-BCC0-4B10-9BEA-4388B4A8ED9D}">
  <dimension ref="B1:M26"/>
  <sheetViews>
    <sheetView view="pageBreakPreview" zoomScale="70" zoomScaleNormal="70" zoomScaleSheetLayoutView="70" workbookViewId="0">
      <selection activeCell="F21" sqref="F21"/>
    </sheetView>
  </sheetViews>
  <sheetFormatPr defaultRowHeight="17.5" x14ac:dyDescent="0.55000000000000004"/>
  <cols>
    <col min="1" max="1" width="3.08203125" style="2" customWidth="1"/>
    <col min="2" max="2" width="20.58203125" style="2" customWidth="1"/>
    <col min="3" max="4" width="30.58203125" style="2" customWidth="1"/>
    <col min="5" max="5" width="20.58203125" style="2" customWidth="1"/>
    <col min="6" max="7" width="10.58203125" style="2" customWidth="1"/>
    <col min="8" max="9" width="3.08203125" style="2" customWidth="1"/>
    <col min="10" max="10" width="8.6640625" style="2"/>
    <col min="11" max="12" width="30.58203125" style="2" customWidth="1"/>
    <col min="13" max="13" width="20.58203125" style="2" customWidth="1"/>
    <col min="14" max="14" width="8.6640625" style="2"/>
    <col min="15" max="16" width="14.83203125" style="2" customWidth="1"/>
    <col min="17" max="17" width="24.9140625" style="2" bestFit="1" customWidth="1"/>
    <col min="18" max="18" width="22.83203125" style="2" bestFit="1" customWidth="1"/>
    <col min="19" max="16384" width="8.6640625" style="2"/>
  </cols>
  <sheetData>
    <row r="1" spans="2:13" s="1" customFormat="1" ht="21" customHeight="1" x14ac:dyDescent="0.55000000000000004">
      <c r="B1" s="68" t="s">
        <v>57</v>
      </c>
      <c r="C1" s="68"/>
      <c r="D1" s="68"/>
      <c r="E1" s="68"/>
      <c r="F1" s="68"/>
      <c r="G1" s="68"/>
    </row>
    <row r="3" spans="2:13" x14ac:dyDescent="0.55000000000000004">
      <c r="B3" s="118" t="s">
        <v>10</v>
      </c>
      <c r="C3" s="115" t="s">
        <v>190</v>
      </c>
      <c r="D3" s="76"/>
      <c r="E3" s="76"/>
      <c r="F3" s="76"/>
      <c r="G3" s="77"/>
    </row>
    <row r="4" spans="2:13" x14ac:dyDescent="0.55000000000000004">
      <c r="B4" s="120"/>
      <c r="C4" s="73" t="s">
        <v>191</v>
      </c>
      <c r="D4" s="74"/>
      <c r="E4" s="74"/>
      <c r="F4" s="74"/>
      <c r="G4" s="75"/>
    </row>
    <row r="5" spans="2:13" x14ac:dyDescent="0.55000000000000004">
      <c r="B5" s="118" t="s">
        <v>11</v>
      </c>
      <c r="C5" s="115" t="s">
        <v>8</v>
      </c>
      <c r="D5" s="76"/>
      <c r="E5" s="76"/>
      <c r="F5" s="76"/>
      <c r="G5" s="77"/>
    </row>
    <row r="6" spans="2:13" x14ac:dyDescent="0.55000000000000004">
      <c r="B6" s="119"/>
      <c r="C6" s="116" t="s">
        <v>9</v>
      </c>
      <c r="D6" s="81"/>
      <c r="E6" s="81"/>
      <c r="F6" s="81"/>
      <c r="G6" s="82"/>
    </row>
    <row r="7" spans="2:13" x14ac:dyDescent="0.55000000000000004">
      <c r="B7" s="119"/>
      <c r="C7" s="116" t="s">
        <v>192</v>
      </c>
      <c r="D7" s="81"/>
      <c r="E7" s="81"/>
      <c r="F7" s="81"/>
      <c r="G7" s="82"/>
    </row>
    <row r="8" spans="2:13" x14ac:dyDescent="0.55000000000000004">
      <c r="B8" s="120"/>
      <c r="C8" s="73" t="s">
        <v>193</v>
      </c>
      <c r="D8" s="74"/>
      <c r="E8" s="74"/>
      <c r="F8" s="74"/>
      <c r="G8" s="75"/>
    </row>
    <row r="10" spans="2:13" s="1" customFormat="1" ht="22.5" x14ac:dyDescent="0.55000000000000004">
      <c r="B10" s="70" t="s">
        <v>218</v>
      </c>
      <c r="C10" s="70"/>
      <c r="D10" s="70"/>
      <c r="E10" s="70"/>
      <c r="F10" s="70"/>
      <c r="G10" s="70"/>
    </row>
    <row r="12" spans="2:13" x14ac:dyDescent="0.55000000000000004">
      <c r="E12" s="63" t="s">
        <v>3</v>
      </c>
      <c r="F12" s="16">
        <v>30</v>
      </c>
      <c r="G12" s="62" t="s">
        <v>195</v>
      </c>
    </row>
    <row r="13" spans="2:13" x14ac:dyDescent="0.55000000000000004">
      <c r="K13" s="69" t="s">
        <v>19</v>
      </c>
      <c r="L13" s="69"/>
      <c r="M13" s="69"/>
    </row>
    <row r="14" spans="2:13" x14ac:dyDescent="0.55000000000000004">
      <c r="B14" s="60" t="s">
        <v>0</v>
      </c>
      <c r="C14" s="60" t="s">
        <v>1</v>
      </c>
      <c r="D14" s="60" t="s">
        <v>196</v>
      </c>
      <c r="E14" s="60" t="s">
        <v>2</v>
      </c>
      <c r="F14" s="69" t="s">
        <v>4</v>
      </c>
      <c r="G14" s="69"/>
      <c r="K14" s="60" t="s">
        <v>1</v>
      </c>
      <c r="L14" s="60" t="s">
        <v>196</v>
      </c>
      <c r="M14" s="60" t="s">
        <v>2</v>
      </c>
    </row>
    <row r="15" spans="2:13" x14ac:dyDescent="0.55000000000000004">
      <c r="B15" s="62" t="s">
        <v>209</v>
      </c>
      <c r="C15" s="5" t="s">
        <v>143</v>
      </c>
      <c r="D15" s="62"/>
      <c r="E15" s="62" t="s">
        <v>211</v>
      </c>
      <c r="F15" s="33">
        <f>F12*4</f>
        <v>120</v>
      </c>
      <c r="G15" s="28" t="s">
        <v>5</v>
      </c>
      <c r="K15" s="3" t="s">
        <v>14</v>
      </c>
      <c r="L15" s="3"/>
      <c r="M15" s="3"/>
    </row>
    <row r="16" spans="2:13" x14ac:dyDescent="0.55000000000000004">
      <c r="B16" s="62" t="s">
        <v>219</v>
      </c>
      <c r="C16" s="5" t="str">
        <f>IF(OR(C15="CPアンカーピン E-550",C15="CPアンカーピン E-570",C15="CPアンカーピン E-535"),"CPキャップ Φ6.5",IF(OR(C15="CPアンカーピン E-610",C15="CPアンカーピン AL-670WN"),"CPキャップ Φ9.0",""))</f>
        <v>CPキャップ Φ6.5</v>
      </c>
      <c r="D16" s="62"/>
      <c r="E16" s="62" t="s">
        <v>220</v>
      </c>
      <c r="F16" s="33">
        <f>F12*4</f>
        <v>120</v>
      </c>
      <c r="G16" s="28" t="s">
        <v>6</v>
      </c>
      <c r="K16" s="3" t="s">
        <v>15</v>
      </c>
      <c r="L16" s="3"/>
      <c r="M16" s="3"/>
    </row>
    <row r="17" spans="2:13" x14ac:dyDescent="0.55000000000000004">
      <c r="B17" s="62" t="s">
        <v>213</v>
      </c>
      <c r="C17" s="5" t="s">
        <v>221</v>
      </c>
      <c r="D17" s="5" t="s">
        <v>214</v>
      </c>
      <c r="E17" s="65">
        <f>VLOOKUP(D17,L24:M26,2,FALSE)</f>
        <v>0.03</v>
      </c>
      <c r="F17" s="33">
        <f>F12*4*E17</f>
        <v>3.5999999999999996</v>
      </c>
      <c r="G17" s="28" t="s">
        <v>7</v>
      </c>
      <c r="K17" s="3" t="s">
        <v>222</v>
      </c>
      <c r="L17" s="3"/>
      <c r="M17" s="3"/>
    </row>
    <row r="18" spans="2:13" x14ac:dyDescent="0.55000000000000004">
      <c r="B18" s="62" t="s">
        <v>197</v>
      </c>
      <c r="C18" s="62" t="s">
        <v>223</v>
      </c>
      <c r="D18" s="62"/>
      <c r="E18" s="62" t="s">
        <v>224</v>
      </c>
      <c r="F18" s="33">
        <f>F12*0.125</f>
        <v>3.75</v>
      </c>
      <c r="G18" s="28" t="s">
        <v>7</v>
      </c>
      <c r="K18" s="3" t="s">
        <v>16</v>
      </c>
      <c r="L18" s="3"/>
      <c r="M18" s="3"/>
    </row>
    <row r="19" spans="2:13" x14ac:dyDescent="0.55000000000000004">
      <c r="B19" s="62" t="s">
        <v>225</v>
      </c>
      <c r="C19" s="62" t="s">
        <v>226</v>
      </c>
      <c r="D19" s="62"/>
      <c r="E19" s="62" t="s">
        <v>227</v>
      </c>
      <c r="F19" s="33">
        <f>F12*0.2*3</f>
        <v>18</v>
      </c>
      <c r="G19" s="28" t="s">
        <v>7</v>
      </c>
      <c r="K19" s="3" t="s">
        <v>228</v>
      </c>
      <c r="L19" s="3"/>
      <c r="M19" s="3"/>
    </row>
    <row r="20" spans="2:13" x14ac:dyDescent="0.55000000000000004">
      <c r="B20" s="62" t="s">
        <v>229</v>
      </c>
      <c r="C20" s="62" t="s">
        <v>230</v>
      </c>
      <c r="D20" s="62"/>
      <c r="E20" s="62" t="s">
        <v>231</v>
      </c>
      <c r="F20" s="33">
        <f>F12*0.055*2</f>
        <v>3.3</v>
      </c>
      <c r="G20" s="28" t="s">
        <v>7</v>
      </c>
      <c r="K20" s="3" t="s">
        <v>17</v>
      </c>
      <c r="L20" s="3"/>
      <c r="M20" s="3"/>
    </row>
    <row r="21" spans="2:13" x14ac:dyDescent="0.55000000000000004">
      <c r="K21" s="3" t="s">
        <v>18</v>
      </c>
      <c r="L21" s="3"/>
      <c r="M21" s="3"/>
    </row>
    <row r="22" spans="2:13" x14ac:dyDescent="0.55000000000000004">
      <c r="K22" s="3" t="s">
        <v>12</v>
      </c>
      <c r="L22" s="3"/>
      <c r="M22" s="3"/>
    </row>
    <row r="23" spans="2:13" x14ac:dyDescent="0.55000000000000004">
      <c r="K23" s="3" t="s">
        <v>13</v>
      </c>
      <c r="L23" s="3"/>
      <c r="M23" s="3"/>
    </row>
    <row r="24" spans="2:13" x14ac:dyDescent="0.55000000000000004">
      <c r="K24" s="3"/>
      <c r="L24" s="3" t="s">
        <v>214</v>
      </c>
      <c r="M24" s="3">
        <v>0.03</v>
      </c>
    </row>
    <row r="25" spans="2:13" x14ac:dyDescent="0.55000000000000004">
      <c r="K25" s="3"/>
      <c r="L25" s="3" t="s">
        <v>216</v>
      </c>
      <c r="M25" s="3">
        <v>1E-3</v>
      </c>
    </row>
    <row r="26" spans="2:13" x14ac:dyDescent="0.55000000000000004">
      <c r="K26" s="3"/>
      <c r="L26" s="3" t="s">
        <v>217</v>
      </c>
      <c r="M26" s="3">
        <v>1.5E-3</v>
      </c>
    </row>
  </sheetData>
  <mergeCells count="12">
    <mergeCell ref="B10:G10"/>
    <mergeCell ref="K13:M13"/>
    <mergeCell ref="F14:G14"/>
    <mergeCell ref="B1:G1"/>
    <mergeCell ref="B3:B4"/>
    <mergeCell ref="C3:G3"/>
    <mergeCell ref="C4:G4"/>
    <mergeCell ref="B5:B8"/>
    <mergeCell ref="C5:G5"/>
    <mergeCell ref="C6:G6"/>
    <mergeCell ref="C7:G7"/>
    <mergeCell ref="C8:G8"/>
  </mergeCells>
  <phoneticPr fontId="2"/>
  <dataValidations count="4">
    <dataValidation type="list" allowBlank="1" showInputMessage="1" showErrorMessage="1" sqref="C16" xr:uid="{7FA0412E-CF72-4095-9339-82B52E7237EF}">
      <formula1>$K$20:$K$21</formula1>
    </dataValidation>
    <dataValidation type="list" allowBlank="1" showInputMessage="1" showErrorMessage="1" sqref="D17" xr:uid="{C152A25B-C4EE-49FA-83D2-7873DBBC5E4E}">
      <formula1>$L$24:$L$26</formula1>
    </dataValidation>
    <dataValidation type="list" allowBlank="1" showInputMessage="1" showErrorMessage="1" sqref="C17" xr:uid="{046C0ABE-1FCD-4320-9F40-13BE36CAFF24}">
      <formula1>$K$22:$K$23</formula1>
    </dataValidation>
    <dataValidation type="list" allowBlank="1" showInputMessage="1" showErrorMessage="1" sqref="C15" xr:uid="{F97A3076-BB6A-42B0-BF9C-4E44F99BD256}">
      <formula1>$K$15:$K$19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C0B6-48ED-4956-A38F-47B8457F72E4}">
  <dimension ref="B1:M26"/>
  <sheetViews>
    <sheetView view="pageBreakPreview" topLeftCell="B1" zoomScale="70" zoomScaleNormal="70" zoomScaleSheetLayoutView="70" workbookViewId="0">
      <selection activeCell="D28" sqref="C28:D29"/>
    </sheetView>
  </sheetViews>
  <sheetFormatPr defaultRowHeight="17.5" x14ac:dyDescent="0.55000000000000004"/>
  <cols>
    <col min="1" max="1" width="3.08203125" style="2" customWidth="1"/>
    <col min="2" max="2" width="20.58203125" style="2" customWidth="1"/>
    <col min="3" max="4" width="30.58203125" style="2" customWidth="1"/>
    <col min="5" max="5" width="20.58203125" style="2" customWidth="1"/>
    <col min="6" max="7" width="10.58203125" style="2" customWidth="1"/>
    <col min="8" max="9" width="3.08203125" style="2" customWidth="1"/>
    <col min="10" max="10" width="8.6640625" style="2"/>
    <col min="11" max="12" width="30.58203125" style="2" customWidth="1"/>
    <col min="13" max="13" width="20.58203125" style="2" customWidth="1"/>
    <col min="14" max="14" width="8.6640625" style="2"/>
    <col min="15" max="16" width="14.83203125" style="2" customWidth="1"/>
    <col min="17" max="17" width="24.9140625" style="2" bestFit="1" customWidth="1"/>
    <col min="18" max="18" width="22.83203125" style="2" bestFit="1" customWidth="1"/>
    <col min="19" max="16384" width="8.6640625" style="2"/>
  </cols>
  <sheetData>
    <row r="1" spans="2:13" s="1" customFormat="1" ht="21" customHeight="1" x14ac:dyDescent="0.55000000000000004">
      <c r="B1" s="68" t="s">
        <v>57</v>
      </c>
      <c r="C1" s="68"/>
      <c r="D1" s="68"/>
      <c r="E1" s="68"/>
      <c r="F1" s="68"/>
      <c r="G1" s="68"/>
    </row>
    <row r="3" spans="2:13" x14ac:dyDescent="0.55000000000000004">
      <c r="B3" s="118" t="s">
        <v>10</v>
      </c>
      <c r="C3" s="115" t="s">
        <v>190</v>
      </c>
      <c r="D3" s="76"/>
      <c r="E3" s="76"/>
      <c r="F3" s="76"/>
      <c r="G3" s="77"/>
    </row>
    <row r="4" spans="2:13" x14ac:dyDescent="0.55000000000000004">
      <c r="B4" s="120"/>
      <c r="C4" s="73" t="s">
        <v>191</v>
      </c>
      <c r="D4" s="74"/>
      <c r="E4" s="74"/>
      <c r="F4" s="74"/>
      <c r="G4" s="75"/>
    </row>
    <row r="5" spans="2:13" x14ac:dyDescent="0.55000000000000004">
      <c r="B5" s="118" t="s">
        <v>11</v>
      </c>
      <c r="C5" s="115" t="s">
        <v>8</v>
      </c>
      <c r="D5" s="76"/>
      <c r="E5" s="76"/>
      <c r="F5" s="76"/>
      <c r="G5" s="77"/>
    </row>
    <row r="6" spans="2:13" x14ac:dyDescent="0.55000000000000004">
      <c r="B6" s="119"/>
      <c r="C6" s="116" t="s">
        <v>9</v>
      </c>
      <c r="D6" s="81"/>
      <c r="E6" s="81"/>
      <c r="F6" s="81"/>
      <c r="G6" s="82"/>
    </row>
    <row r="7" spans="2:13" x14ac:dyDescent="0.55000000000000004">
      <c r="B7" s="119"/>
      <c r="C7" s="116" t="s">
        <v>192</v>
      </c>
      <c r="D7" s="81"/>
      <c r="E7" s="81"/>
      <c r="F7" s="81"/>
      <c r="G7" s="82"/>
    </row>
    <row r="8" spans="2:13" x14ac:dyDescent="0.55000000000000004">
      <c r="B8" s="120"/>
      <c r="C8" s="73" t="s">
        <v>193</v>
      </c>
      <c r="D8" s="74"/>
      <c r="E8" s="74"/>
      <c r="F8" s="74"/>
      <c r="G8" s="75"/>
    </row>
    <row r="10" spans="2:13" s="1" customFormat="1" ht="22.5" x14ac:dyDescent="0.55000000000000004">
      <c r="B10" s="70" t="s">
        <v>232</v>
      </c>
      <c r="C10" s="70"/>
      <c r="D10" s="70"/>
      <c r="E10" s="70"/>
      <c r="F10" s="70"/>
      <c r="G10" s="70"/>
    </row>
    <row r="12" spans="2:13" x14ac:dyDescent="0.55000000000000004">
      <c r="E12" s="63" t="s">
        <v>3</v>
      </c>
      <c r="F12" s="16">
        <v>30</v>
      </c>
      <c r="G12" s="62" t="s">
        <v>195</v>
      </c>
    </row>
    <row r="13" spans="2:13" x14ac:dyDescent="0.55000000000000004">
      <c r="K13" s="69" t="s">
        <v>19</v>
      </c>
      <c r="L13" s="69"/>
      <c r="M13" s="69"/>
    </row>
    <row r="14" spans="2:13" x14ac:dyDescent="0.55000000000000004">
      <c r="B14" s="60" t="s">
        <v>0</v>
      </c>
      <c r="C14" s="60" t="s">
        <v>1</v>
      </c>
      <c r="D14" s="60" t="s">
        <v>196</v>
      </c>
      <c r="E14" s="60" t="s">
        <v>2</v>
      </c>
      <c r="F14" s="69" t="s">
        <v>4</v>
      </c>
      <c r="G14" s="69"/>
      <c r="K14" s="60" t="s">
        <v>1</v>
      </c>
      <c r="L14" s="60" t="s">
        <v>196</v>
      </c>
      <c r="M14" s="60" t="s">
        <v>2</v>
      </c>
    </row>
    <row r="15" spans="2:13" x14ac:dyDescent="0.55000000000000004">
      <c r="B15" s="62" t="s">
        <v>209</v>
      </c>
      <c r="C15" s="5" t="s">
        <v>143</v>
      </c>
      <c r="D15" s="62"/>
      <c r="E15" s="62" t="s">
        <v>211</v>
      </c>
      <c r="F15" s="33">
        <f>F12*4</f>
        <v>120</v>
      </c>
      <c r="G15" s="28" t="s">
        <v>5</v>
      </c>
      <c r="K15" s="3" t="s">
        <v>14</v>
      </c>
      <c r="L15" s="3"/>
      <c r="M15" s="3"/>
    </row>
    <row r="16" spans="2:13" x14ac:dyDescent="0.55000000000000004">
      <c r="B16" s="62" t="s">
        <v>219</v>
      </c>
      <c r="C16" s="5" t="str">
        <f>IF(OR(C15="CPアンカーピン E-550",C15="CPアンカーピン E-570",C15="CPアンカーピン E-535"),"CPキャップ Φ6.5",IF(OR(C15="CPアンカーピン E-610",C15="CPアンカーピン AL-670WN"),"CPキャップ Φ9.0",""))</f>
        <v>CPキャップ Φ6.5</v>
      </c>
      <c r="D16" s="62"/>
      <c r="E16" s="62" t="s">
        <v>220</v>
      </c>
      <c r="F16" s="33">
        <f>F12*4</f>
        <v>120</v>
      </c>
      <c r="G16" s="28" t="s">
        <v>6</v>
      </c>
      <c r="K16" s="3" t="s">
        <v>15</v>
      </c>
      <c r="L16" s="3"/>
      <c r="M16" s="3"/>
    </row>
    <row r="17" spans="2:13" x14ac:dyDescent="0.55000000000000004">
      <c r="B17" s="62" t="s">
        <v>213</v>
      </c>
      <c r="C17" s="5" t="s">
        <v>221</v>
      </c>
      <c r="D17" s="5" t="s">
        <v>214</v>
      </c>
      <c r="E17" s="65">
        <f>VLOOKUP(D17,L24:M26,2,FALSE)</f>
        <v>0.03</v>
      </c>
      <c r="F17" s="33">
        <f>F12*4*E17</f>
        <v>3.5999999999999996</v>
      </c>
      <c r="G17" s="28" t="s">
        <v>7</v>
      </c>
      <c r="K17" s="3" t="s">
        <v>222</v>
      </c>
      <c r="L17" s="3"/>
      <c r="M17" s="3"/>
    </row>
    <row r="18" spans="2:13" x14ac:dyDescent="0.55000000000000004">
      <c r="B18" s="62" t="s">
        <v>197</v>
      </c>
      <c r="C18" s="62" t="s">
        <v>233</v>
      </c>
      <c r="D18" s="62"/>
      <c r="E18" s="62" t="s">
        <v>224</v>
      </c>
      <c r="F18" s="33">
        <f>F12*0.125</f>
        <v>3.75</v>
      </c>
      <c r="G18" s="28" t="s">
        <v>7</v>
      </c>
      <c r="K18" s="3" t="s">
        <v>16</v>
      </c>
      <c r="L18" s="3"/>
      <c r="M18" s="3"/>
    </row>
    <row r="19" spans="2:13" x14ac:dyDescent="0.55000000000000004">
      <c r="B19" s="62" t="s">
        <v>225</v>
      </c>
      <c r="C19" s="62" t="s">
        <v>234</v>
      </c>
      <c r="D19" s="62"/>
      <c r="E19" s="62" t="s">
        <v>235</v>
      </c>
      <c r="F19" s="33">
        <f>F12*0.3*2</f>
        <v>18</v>
      </c>
      <c r="G19" s="28" t="s">
        <v>7</v>
      </c>
      <c r="K19" s="3" t="s">
        <v>228</v>
      </c>
      <c r="L19" s="3"/>
      <c r="M19" s="3"/>
    </row>
    <row r="20" spans="2:13" x14ac:dyDescent="0.55000000000000004">
      <c r="B20" s="156" t="s">
        <v>229</v>
      </c>
      <c r="C20" s="19" t="s">
        <v>236</v>
      </c>
      <c r="D20" s="157" t="s">
        <v>243</v>
      </c>
      <c r="E20" s="159" t="s">
        <v>237</v>
      </c>
      <c r="F20" s="34">
        <f>F12*0.11*2*0.8</f>
        <v>5.28</v>
      </c>
      <c r="G20" s="29" t="s">
        <v>7</v>
      </c>
      <c r="K20" s="3" t="s">
        <v>17</v>
      </c>
      <c r="L20" s="3"/>
      <c r="M20" s="3"/>
    </row>
    <row r="21" spans="2:13" x14ac:dyDescent="0.55000000000000004">
      <c r="B21" s="156"/>
      <c r="C21" s="24" t="s">
        <v>238</v>
      </c>
      <c r="D21" s="158"/>
      <c r="E21" s="160"/>
      <c r="F21" s="35">
        <f>F12*0.11*2*0.2</f>
        <v>1.32</v>
      </c>
      <c r="G21" s="30" t="s">
        <v>7</v>
      </c>
      <c r="K21" s="3" t="s">
        <v>18</v>
      </c>
      <c r="L21" s="3"/>
      <c r="M21" s="3"/>
    </row>
    <row r="22" spans="2:13" x14ac:dyDescent="0.55000000000000004">
      <c r="K22" s="3" t="s">
        <v>12</v>
      </c>
      <c r="L22" s="3"/>
      <c r="M22" s="3"/>
    </row>
    <row r="23" spans="2:13" x14ac:dyDescent="0.55000000000000004">
      <c r="K23" s="3" t="s">
        <v>13</v>
      </c>
      <c r="L23" s="3"/>
      <c r="M23" s="3"/>
    </row>
    <row r="24" spans="2:13" x14ac:dyDescent="0.55000000000000004">
      <c r="K24" s="3"/>
      <c r="L24" s="3" t="s">
        <v>214</v>
      </c>
      <c r="M24" s="3">
        <v>0.03</v>
      </c>
    </row>
    <row r="25" spans="2:13" x14ac:dyDescent="0.55000000000000004">
      <c r="K25" s="3"/>
      <c r="L25" s="3" t="s">
        <v>216</v>
      </c>
      <c r="M25" s="3">
        <v>1E-3</v>
      </c>
    </row>
    <row r="26" spans="2:13" x14ac:dyDescent="0.55000000000000004">
      <c r="K26" s="3"/>
      <c r="L26" s="3" t="s">
        <v>217</v>
      </c>
      <c r="M26" s="3">
        <v>1.5E-3</v>
      </c>
    </row>
  </sheetData>
  <mergeCells count="15">
    <mergeCell ref="B1:G1"/>
    <mergeCell ref="B3:B4"/>
    <mergeCell ref="C3:G3"/>
    <mergeCell ref="C4:G4"/>
    <mergeCell ref="B5:B8"/>
    <mergeCell ref="C5:G5"/>
    <mergeCell ref="C6:G6"/>
    <mergeCell ref="C7:G7"/>
    <mergeCell ref="C8:G8"/>
    <mergeCell ref="B10:G10"/>
    <mergeCell ref="K13:M13"/>
    <mergeCell ref="F14:G14"/>
    <mergeCell ref="B20:B21"/>
    <mergeCell ref="D20:D21"/>
    <mergeCell ref="E20:E21"/>
  </mergeCells>
  <phoneticPr fontId="2"/>
  <dataValidations count="4">
    <dataValidation type="list" allowBlank="1" showInputMessage="1" showErrorMessage="1" sqref="C16" xr:uid="{5F82EE27-BFE8-400D-B1DD-CAF7405E550C}">
      <formula1>$K$20:$K$21</formula1>
    </dataValidation>
    <dataValidation type="list" allowBlank="1" showInputMessage="1" showErrorMessage="1" sqref="C15" xr:uid="{10653E73-6EF2-4483-A9FC-F11FDA6EF922}">
      <formula1>$K$15:$K$19</formula1>
    </dataValidation>
    <dataValidation type="list" allowBlank="1" showInputMessage="1" showErrorMessage="1" sqref="C17" xr:uid="{741C1CE2-9966-4A41-AD59-5378BDDC4124}">
      <formula1>$K$22:$K$23</formula1>
    </dataValidation>
    <dataValidation type="list" allowBlank="1" showInputMessage="1" showErrorMessage="1" sqref="D17" xr:uid="{A5644A91-704F-45CD-8E8F-581F8698E49E}">
      <formula1>$L$24:$L$26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33E5-F127-4F50-8E7A-85B9E3409BC7}">
  <dimension ref="B1:F17"/>
  <sheetViews>
    <sheetView tabSelected="1" view="pageBreakPreview" zoomScale="70" zoomScaleNormal="70" zoomScaleSheetLayoutView="70" workbookViewId="0">
      <selection activeCell="N20" sqref="N20"/>
    </sheetView>
  </sheetViews>
  <sheetFormatPr defaultRowHeight="17.5" x14ac:dyDescent="0.55000000000000004"/>
  <cols>
    <col min="1" max="1" width="3.08203125" style="2" customWidth="1"/>
    <col min="2" max="2" width="20.58203125" style="2" customWidth="1"/>
    <col min="3" max="3" width="50.58203125" style="2" customWidth="1"/>
    <col min="4" max="4" width="30.58203125" style="2" customWidth="1"/>
    <col min="5" max="6" width="10.58203125" style="2" customWidth="1"/>
    <col min="7" max="8" width="3.08203125" style="2" customWidth="1"/>
    <col min="9" max="10" width="8.6640625" style="2"/>
    <col min="11" max="12" width="14.83203125" style="2" customWidth="1"/>
    <col min="13" max="13" width="24.9140625" style="2" bestFit="1" customWidth="1"/>
    <col min="14" max="14" width="22.83203125" style="2" bestFit="1" customWidth="1"/>
    <col min="15" max="16384" width="8.6640625" style="2"/>
  </cols>
  <sheetData>
    <row r="1" spans="2:6" s="1" customFormat="1" ht="21" customHeight="1" x14ac:dyDescent="0.55000000000000004">
      <c r="B1" s="68" t="s">
        <v>57</v>
      </c>
      <c r="C1" s="68"/>
      <c r="D1" s="68"/>
      <c r="E1" s="68"/>
      <c r="F1" s="68"/>
    </row>
    <row r="3" spans="2:6" x14ac:dyDescent="0.55000000000000004">
      <c r="B3" s="118" t="s">
        <v>10</v>
      </c>
      <c r="C3" s="115" t="s">
        <v>239</v>
      </c>
      <c r="D3" s="76"/>
      <c r="E3" s="76"/>
      <c r="F3" s="77"/>
    </row>
    <row r="4" spans="2:6" x14ac:dyDescent="0.55000000000000004">
      <c r="B4" s="120"/>
      <c r="C4" s="73" t="s">
        <v>191</v>
      </c>
      <c r="D4" s="74"/>
      <c r="E4" s="74"/>
      <c r="F4" s="75"/>
    </row>
    <row r="5" spans="2:6" x14ac:dyDescent="0.55000000000000004">
      <c r="B5" s="118" t="s">
        <v>11</v>
      </c>
      <c r="C5" s="115" t="s">
        <v>8</v>
      </c>
      <c r="D5" s="76"/>
      <c r="E5" s="76"/>
      <c r="F5" s="77"/>
    </row>
    <row r="6" spans="2:6" x14ac:dyDescent="0.55000000000000004">
      <c r="B6" s="119"/>
      <c r="C6" s="116" t="s">
        <v>9</v>
      </c>
      <c r="D6" s="81"/>
      <c r="E6" s="81"/>
      <c r="F6" s="82"/>
    </row>
    <row r="7" spans="2:6" x14ac:dyDescent="0.55000000000000004">
      <c r="B7" s="119"/>
      <c r="C7" s="116" t="s">
        <v>192</v>
      </c>
      <c r="D7" s="81"/>
      <c r="E7" s="81"/>
      <c r="F7" s="82"/>
    </row>
    <row r="8" spans="2:6" x14ac:dyDescent="0.55000000000000004">
      <c r="B8" s="120"/>
      <c r="C8" s="73" t="s">
        <v>193</v>
      </c>
      <c r="D8" s="74"/>
      <c r="E8" s="74"/>
      <c r="F8" s="75"/>
    </row>
    <row r="10" spans="2:6" s="1" customFormat="1" ht="22.5" x14ac:dyDescent="0.55000000000000004">
      <c r="B10" s="70" t="s">
        <v>240</v>
      </c>
      <c r="C10" s="70"/>
      <c r="D10" s="70"/>
      <c r="E10" s="70"/>
      <c r="F10" s="70"/>
    </row>
    <row r="12" spans="2:6" x14ac:dyDescent="0.55000000000000004">
      <c r="D12" s="63" t="s">
        <v>3</v>
      </c>
      <c r="E12" s="16">
        <v>30</v>
      </c>
      <c r="F12" s="62" t="s">
        <v>195</v>
      </c>
    </row>
    <row r="14" spans="2:6" x14ac:dyDescent="0.55000000000000004">
      <c r="B14" s="60" t="s">
        <v>0</v>
      </c>
      <c r="C14" s="60" t="s">
        <v>1</v>
      </c>
      <c r="D14" s="60" t="s">
        <v>2</v>
      </c>
      <c r="E14" s="69" t="s">
        <v>4</v>
      </c>
      <c r="F14" s="69"/>
    </row>
    <row r="15" spans="2:6" x14ac:dyDescent="0.55000000000000004">
      <c r="B15" s="62" t="s">
        <v>197</v>
      </c>
      <c r="C15" s="62" t="s">
        <v>223</v>
      </c>
      <c r="D15" s="62" t="s">
        <v>224</v>
      </c>
      <c r="E15" s="33">
        <f>E12*0.125</f>
        <v>3.75</v>
      </c>
      <c r="F15" s="28" t="s">
        <v>7</v>
      </c>
    </row>
    <row r="16" spans="2:6" x14ac:dyDescent="0.55000000000000004">
      <c r="B16" s="62" t="s">
        <v>225</v>
      </c>
      <c r="C16" s="62" t="s">
        <v>241</v>
      </c>
      <c r="D16" s="62" t="s">
        <v>242</v>
      </c>
      <c r="E16" s="33">
        <f>E12*0.175*2</f>
        <v>10.5</v>
      </c>
      <c r="F16" s="28" t="s">
        <v>7</v>
      </c>
    </row>
    <row r="17" spans="2:6" x14ac:dyDescent="0.55000000000000004">
      <c r="B17" s="62" t="s">
        <v>229</v>
      </c>
      <c r="C17" s="62" t="s">
        <v>230</v>
      </c>
      <c r="D17" s="62" t="s">
        <v>231</v>
      </c>
      <c r="E17" s="33">
        <f>E12*0.055*2</f>
        <v>3.3</v>
      </c>
      <c r="F17" s="28" t="s">
        <v>7</v>
      </c>
    </row>
  </sheetData>
  <mergeCells count="11">
    <mergeCell ref="B10:F10"/>
    <mergeCell ref="E14:F14"/>
    <mergeCell ref="B1:F1"/>
    <mergeCell ref="B3:B4"/>
    <mergeCell ref="C3:F3"/>
    <mergeCell ref="C4:F4"/>
    <mergeCell ref="B5:B8"/>
    <mergeCell ref="C5:F5"/>
    <mergeCell ref="C6:F6"/>
    <mergeCell ref="C7:F7"/>
    <mergeCell ref="C8:F8"/>
  </mergeCells>
  <phoneticPr fontId="2"/>
  <printOptions horizontalCentered="1"/>
  <pageMargins left="0.39370078740157483" right="0.39370078740157483" top="0.59055118110236227" bottom="0.59055118110236227" header="0.39370078740157483" footer="0.39370078740157483"/>
  <pageSetup paperSize="9" fitToHeight="0" orientation="landscape" r:id="rId1"/>
  <headerFooter>
    <oddFooter>&amp;C&amp;"メイリオ,レギュラー"&amp;8&amp;P/&amp;N&amp;R&amp;"メイリオ,レギュラー"&amp;8【コニシ株式会社】https://www.bond.co.jp/　外壁改修工法　材料計算書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E m c + X C 6 f o d + m A A A A + A A A A B I A H A B D b 2 5 m a W c v U G F j a 2 F n Z S 5 4 b W w g o h g A K K A U A A A A A A A A A A A A A A A A A A A A A A A A A A A A h Y + x D o I w G I R f h X S n L S U x h v y U w c 1 I Q m J i X J t S o Q r F 0 G J 5 N w c f y V c Q o 6 i b w w 1 3 9 w 1 3 9 + s N s r F t g o v q r e 5 M i i J M U a C M 7 E p t q h Q N 7 h A u U c a h E P I k K h V M s L H J a M s U 1 c 6 d E 0 K 8 9 9 j H u O s r w i i N y D 7 f b G W t W o E + s P 4 P h 9 p Y J 4 x U i M P u N Y Y z H M W T 2 I I y T I H M M e T a f B E 2 L X 6 2 P y G s h s Y N v e J H E a 4 L I L M F 8 n 7 B H 1 B L A w Q U A A I A C A A S Z z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m c + X C i K R 7 g O A A A A E Q A A A B M A H A B G b 3 J t d W x h c y 9 T Z W N 0 a W 9 u M S 5 t I K I Y A C i g F A A A A A A A A A A A A A A A A A A A A A A A A A A A A C t O T S 7 J z M 9 T C I b Q h t Y A U E s B A i 0 A F A A C A A g A E m c + X C 6 f o d + m A A A A + A A A A B I A A A A A A A A A A A A A A A A A A A A A A E N v b m Z p Z y 9 Q Y W N r Y W d l L n h t b F B L A Q I t A B Q A A g A I A B J n P l w P y u m r p A A A A O k A A A A T A A A A A A A A A A A A A A A A A P I A A A B b Q 2 9 u d G V u d F 9 U e X B l c 1 0 u e G 1 s U E s B A i 0 A F A A C A A g A E m c +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W 0 i r R o U f p F h / M 2 / N 9 n B L k A A A A A A g A A A A A A A 2 Y A A M A A A A A Q A A A A A O d r m Q J 8 r v k 0 A z M 2 L 1 s g D Q A A A A A E g A A A o A A A A B A A A A B V h N g q 1 j P s g c U R b u H W 5 9 o i U A A A A K 0 C T 7 f w 3 m e j N / A u q G J K c 3 h 8 c d h 1 v C 5 X 5 e o s 7 b f L / W 3 T j 1 A I G k z e x y U 8 Y 3 N n b r 8 9 G i O P y / b t k H 6 h e O M h W R x X G r F V K b j 5 X z d 7 Z o W 3 x / x t X f 7 1 F A A A A G 1 r O D c U 1 i R c J E Z 0 A 1 4 o G t C Q 5 W w i < / D a t a M a s h u p > 
</file>

<file path=customXml/itemProps1.xml><?xml version="1.0" encoding="utf-8"?>
<ds:datastoreItem xmlns:ds="http://schemas.openxmlformats.org/officeDocument/2006/customXml" ds:itemID="{838128F8-6501-47E3-9DEA-82FA829757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size="23" baseType="lpstr">
      <vt:lpstr>ひび割れ</vt:lpstr>
      <vt:lpstr>欠損</vt:lpstr>
      <vt:lpstr>浮き</vt:lpstr>
      <vt:lpstr>シーリング材</vt:lpstr>
      <vt:lpstr>手すり足元部</vt:lpstr>
      <vt:lpstr>外壁複合改修工法(カーボピンネット工法)</vt:lpstr>
      <vt:lpstr>外壁複合改修工法(アクアバインド工法)</vt:lpstr>
      <vt:lpstr>外壁複合改修工法(ソルバインド工法)</vt:lpstr>
      <vt:lpstr>外壁用塗膜防水工法(アクアディフェンダー工法)</vt:lpstr>
      <vt:lpstr>シーリング材!Print_Area</vt:lpstr>
      <vt:lpstr>ひび割れ!Print_Area</vt:lpstr>
      <vt:lpstr>'外壁複合改修工法(アクアバインド工法)'!Print_Area</vt:lpstr>
      <vt:lpstr>'外壁複合改修工法(カーボピンネット工法)'!Print_Area</vt:lpstr>
      <vt:lpstr>'外壁複合改修工法(ソルバインド工法)'!Print_Area</vt:lpstr>
      <vt:lpstr>'外壁用塗膜防水工法(アクアディフェンダー工法)'!Print_Area</vt:lpstr>
      <vt:lpstr>欠損!Print_Area</vt:lpstr>
      <vt:lpstr>手すり足元部!Print_Area</vt:lpstr>
      <vt:lpstr>浮き!Print_Area</vt:lpstr>
      <vt:lpstr>シーリング材!Print_Titles</vt:lpstr>
      <vt:lpstr>ひび割れ!Print_Titles</vt:lpstr>
      <vt:lpstr>欠損!Print_Titles</vt:lpstr>
      <vt:lpstr>手すり足元部!Print_Titles</vt:lpstr>
      <vt:lpstr>浮き!Print_Titles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河江　裕美</dc:creator>
  <cp:lastModifiedBy>河江　裕美</cp:lastModifiedBy>
  <cp:lastPrinted>2026-03-12T09:10:53Z</cp:lastPrinted>
  <dcterms:created xsi:type="dcterms:W3CDTF">2026-01-30T00:54:59Z</dcterms:created>
  <dcterms:modified xsi:type="dcterms:W3CDTF">2026-03-18T00:26:23Z</dcterms:modified>
</cp:coreProperties>
</file>